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761" activeTab="0"/>
  </bookViews>
  <sheets>
    <sheet name="1.Trace Current Calci" sheetId="1" r:id="rId1"/>
    <sheet name="2.Via Current Calci" sheetId="2" r:id="rId2"/>
    <sheet name="3.Rise time-Max length Calci" sheetId="3" r:id="rId3"/>
    <sheet name="4.Trace Spacing Calci" sheetId="4" r:id="rId4"/>
    <sheet name="5.Pad Stack Calculator" sheetId="5" r:id="rId5"/>
    <sheet name="6.FR4 Impedance Distortion Calc" sheetId="6" r:id="rId6"/>
    <sheet name="7.Thermal Copper Area Calci" sheetId="7" r:id="rId7"/>
    <sheet name="8.AT&amp;S PCB Standards" sheetId="8" r:id="rId8"/>
    <sheet name="9.ICE Calculation" sheetId="9" r:id="rId9"/>
    <sheet name="10.Job Quote Calculator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satya</author>
  </authors>
  <commentList>
    <comment ref="B6" authorId="0">
      <text>
        <r>
          <rPr>
            <b/>
            <sz val="8"/>
            <rFont val="Tahoma"/>
            <family val="0"/>
          </rPr>
          <t>satya:</t>
        </r>
        <r>
          <rPr>
            <sz val="8"/>
            <rFont val="Tahoma"/>
            <family val="0"/>
          </rPr>
          <t xml:space="preserve">
In vacuum, or in a potted assembly, you should use the internal layer guidelines even for the external layers.</t>
        </r>
      </text>
    </comment>
  </commentList>
</comments>
</file>

<file path=xl/comments3.xml><?xml version="1.0" encoding="utf-8"?>
<comments xmlns="http://schemas.openxmlformats.org/spreadsheetml/2006/main">
  <authors>
    <author>satya</author>
  </authors>
  <commentList>
    <comment ref="C7" authorId="0">
      <text>
        <r>
          <rPr>
            <b/>
            <sz val="8"/>
            <rFont val="Tahoma"/>
            <family val="0"/>
          </rPr>
          <t>Subtrate Material Selection:</t>
        </r>
        <r>
          <rPr>
            <sz val="8"/>
            <rFont val="Tahoma"/>
            <family val="0"/>
          </rPr>
          <t xml:space="preserve">
[FR4-4.6,FR5-4.3,Getek ML200C-3.8,Getek ML200D-3.9,Getek ML200M-3.8,Getek RG200D-4.2,Polyimide-3.4,Teflon PTFE-2.1,FR-408-3.8,RO2800-2.94,RO3003-3.0,RO3006-6.15,RO3010-10.2,RO4003-3.38,RO4350-3.48,RT5500-2.5,RT5870-2.33,RT5880-2.2,RT6002-2.94,RT6006-6.15,RT6010-10.2].</t>
        </r>
      </text>
    </comment>
  </commentList>
</comments>
</file>

<file path=xl/comments4.xml><?xml version="1.0" encoding="utf-8"?>
<comments xmlns="http://schemas.openxmlformats.org/spreadsheetml/2006/main">
  <authors>
    <author>satya</author>
  </authors>
  <commentList>
    <comment ref="B7" authorId="0">
      <text>
        <r>
          <rPr>
            <b/>
            <sz val="8"/>
            <rFont val="Tahoma"/>
            <family val="0"/>
          </rPr>
          <t>satya:</t>
        </r>
        <r>
          <rPr>
            <sz val="8"/>
            <rFont val="Tahoma"/>
            <family val="0"/>
          </rPr>
          <t xml:space="preserve">
In vacuum, or in a potted assembly, you should use the internal layer guidelines even for the external layers.</t>
        </r>
      </text>
    </comment>
  </commentList>
</comments>
</file>

<file path=xl/comments9.xml><?xml version="1.0" encoding="utf-8"?>
<comments xmlns="http://schemas.openxmlformats.org/spreadsheetml/2006/main">
  <authors>
    <author>satya</author>
  </authors>
  <commentList>
    <comment ref="B14" authorId="0">
      <text>
        <r>
          <rPr>
            <b/>
            <sz val="8"/>
            <rFont val="Tahoma"/>
            <family val="0"/>
          </rPr>
          <t>satya:</t>
        </r>
        <r>
          <rPr>
            <sz val="8"/>
            <rFont val="Tahoma"/>
            <family val="0"/>
          </rPr>
          <t xml:space="preserve">
Not applicable when BGA are used.</t>
        </r>
      </text>
    </comment>
  </commentList>
</comments>
</file>

<file path=xl/sharedStrings.xml><?xml version="1.0" encoding="utf-8"?>
<sst xmlns="http://schemas.openxmlformats.org/spreadsheetml/2006/main" count="451" uniqueCount="221">
  <si>
    <t>User Inputs:</t>
  </si>
  <si>
    <t>[Amps]</t>
  </si>
  <si>
    <t>[Degrees C]</t>
  </si>
  <si>
    <t xml:space="preserve">[oz. per sq. ft.] </t>
  </si>
  <si>
    <t>Internal Layer Results:</t>
  </si>
  <si>
    <t>Copper Area:</t>
  </si>
  <si>
    <t>External Layer Results:</t>
  </si>
  <si>
    <t xml:space="preserve">[Mils] </t>
  </si>
  <si>
    <t>[Square Mils]</t>
  </si>
  <si>
    <t>[Volts]</t>
  </si>
  <si>
    <t>Trace Width Calculator</t>
  </si>
  <si>
    <t>Results:</t>
  </si>
  <si>
    <t>Via Current Calculator</t>
  </si>
  <si>
    <t>Area</t>
  </si>
  <si>
    <t>[Mils]</t>
  </si>
  <si>
    <t xml:space="preserve"> [°C]</t>
  </si>
  <si>
    <t xml:space="preserve">[Sq.Mils] </t>
  </si>
  <si>
    <t>SATYA SHANKAR.G</t>
  </si>
  <si>
    <t>AT&amp;S Ecad Technologies Pvt Ltd,</t>
  </si>
  <si>
    <t>Bangalore.</t>
  </si>
  <si>
    <t>TRACE - CURRENT</t>
  </si>
  <si>
    <t xml:space="preserve"> CALCULATOR</t>
  </si>
  <si>
    <t>VIA - CURRENT</t>
  </si>
  <si>
    <t>Critical Signal Length</t>
  </si>
  <si>
    <t>Critical Signal Length Calculator</t>
  </si>
  <si>
    <t xml:space="preserve">[Inch's] </t>
  </si>
  <si>
    <t xml:space="preserve">[Meter] </t>
  </si>
  <si>
    <t>Tpd(MSL)</t>
  </si>
  <si>
    <t>Tpd(SL)</t>
  </si>
  <si>
    <t>Tpd(DSL)</t>
  </si>
  <si>
    <t>[ns/in]</t>
  </si>
  <si>
    <t>NOTE:</t>
  </si>
  <si>
    <t>0-30</t>
  </si>
  <si>
    <t>31-100</t>
  </si>
  <si>
    <t>101-150</t>
  </si>
  <si>
    <t>151-170</t>
  </si>
  <si>
    <t>171-300</t>
  </si>
  <si>
    <t>301-500</t>
  </si>
  <si>
    <t>&gt;500</t>
  </si>
  <si>
    <t>0.0025MM/VOLT</t>
  </si>
  <si>
    <t>0.005MM/VOLT</t>
  </si>
  <si>
    <t>Trace Spacing Calculator</t>
  </si>
  <si>
    <t>Trace Spacing</t>
  </si>
  <si>
    <t>Spacing in Internal Layers</t>
  </si>
  <si>
    <t>These Formulas are approximations!</t>
  </si>
  <si>
    <t>They should not be used when a high degree of accuracy is required.</t>
  </si>
  <si>
    <t>External</t>
  </si>
  <si>
    <t>Internal</t>
  </si>
  <si>
    <t>Current: I</t>
  </si>
  <si>
    <r>
      <t xml:space="preserve">Temperature Rise: </t>
    </r>
    <r>
      <rPr>
        <sz val="10"/>
        <color indexed="12"/>
        <rFont val="Arial"/>
        <family val="2"/>
      </rPr>
      <t>▲</t>
    </r>
    <r>
      <rPr>
        <sz val="10"/>
        <color indexed="12"/>
        <rFont val="Arial"/>
        <family val="0"/>
      </rPr>
      <t>T</t>
    </r>
  </si>
  <si>
    <t>Conductor Thickness:  t</t>
  </si>
  <si>
    <t>Required Trace Width: Wi</t>
  </si>
  <si>
    <t>Required Trace Width: We</t>
  </si>
  <si>
    <t>VIA Drill size before plating:  d</t>
  </si>
  <si>
    <t>Maximum temperature rise above ambient :▲T</t>
  </si>
  <si>
    <t>Via plating thickness :tp</t>
  </si>
  <si>
    <t>Required Current for Single Net:  Imax</t>
  </si>
  <si>
    <t>Maximum voltage rating of the signal:Vmax</t>
  </si>
  <si>
    <t xml:space="preserve">Spacing in External Layers : </t>
  </si>
  <si>
    <t>Pad Stack Calculator</t>
  </si>
  <si>
    <t>PAD-STACK</t>
  </si>
  <si>
    <t>Subtrate Material Selection.</t>
  </si>
  <si>
    <t>Spoke Width</t>
  </si>
  <si>
    <t>1-14</t>
  </si>
  <si>
    <t>15-22</t>
  </si>
  <si>
    <t>23-45</t>
  </si>
  <si>
    <t>46-65</t>
  </si>
  <si>
    <t>66-124</t>
  </si>
  <si>
    <t>124-250</t>
  </si>
  <si>
    <t>Drill Range</t>
  </si>
  <si>
    <t>Not Applicable</t>
  </si>
  <si>
    <t>Plated Type:</t>
  </si>
  <si>
    <t>Non-Plated Type:</t>
  </si>
  <si>
    <t xml:space="preserve">The Material manufacturers provide Er values for 1MHz, but if the signals </t>
  </si>
  <si>
    <t>Note:</t>
  </si>
  <si>
    <t>Enter Required Impedance Value : Zo</t>
  </si>
  <si>
    <t>[Ohms]</t>
  </si>
  <si>
    <t>[MHz]</t>
  </si>
  <si>
    <t>Enter Rise Time of the Signal: Tr</t>
  </si>
  <si>
    <t xml:space="preserve">[ns] </t>
  </si>
  <si>
    <r>
      <t>Enter Freq. of Er is Given in the Material Datsheet:</t>
    </r>
    <r>
      <rPr>
        <sz val="12"/>
        <color indexed="12"/>
        <rFont val="Arial"/>
        <family val="2"/>
      </rPr>
      <t xml:space="preserve"> f</t>
    </r>
    <r>
      <rPr>
        <sz val="10"/>
        <color indexed="12"/>
        <rFont val="Arial"/>
        <family val="0"/>
      </rPr>
      <t>o</t>
    </r>
  </si>
  <si>
    <t>[Wats]</t>
  </si>
  <si>
    <t>Power Dissipated in the Device: Pdiss</t>
  </si>
  <si>
    <t>Maximum or Desired Junction Temperature: Tjunction</t>
  </si>
  <si>
    <t>Ambient Temperature:Tambient</t>
  </si>
  <si>
    <t>Required PCB Copper Area:</t>
  </si>
  <si>
    <t xml:space="preserve">[cm^2] </t>
  </si>
  <si>
    <t>Thermal Resistance of Case to Surface:θCS</t>
  </si>
  <si>
    <t>Thermal Resistance of a 1 cm^2 Surface to Ambient:θSA</t>
  </si>
  <si>
    <t>[°C/Wats]</t>
  </si>
  <si>
    <t>[(cm^2)*°C/Wats]</t>
  </si>
  <si>
    <t xml:space="preserve">[Inch^2] </t>
  </si>
  <si>
    <t xml:space="preserve">[Mils^2] </t>
  </si>
  <si>
    <t>Default Value: 1.37795 Mils=1Oz</t>
  </si>
  <si>
    <t>[Enter If ,MicroStrip=1,StripLine=2,DualStripLine=3]</t>
  </si>
  <si>
    <t>Signal Rise Time :Tr</t>
  </si>
  <si>
    <t>Dielectric Constant of material :er</t>
  </si>
  <si>
    <t>Type of Design:</t>
  </si>
  <si>
    <t>Maximum Length of a Trace(Without Return Path):Lmax</t>
  </si>
  <si>
    <t>Propagation Delay :tpd</t>
  </si>
  <si>
    <t>Wavelength in subtrate: λ</t>
  </si>
  <si>
    <t>Minimum no of Via's Required: Vno</t>
  </si>
  <si>
    <t>Maximum current in Amps : Imax</t>
  </si>
  <si>
    <t>[ns]</t>
  </si>
  <si>
    <t>Enter Finished Hole Diameter [F.H.D]: d</t>
  </si>
  <si>
    <t>Outer Layer Pad Dia Size :</t>
  </si>
  <si>
    <t xml:space="preserve">        are not 1 MHz, then using this value is not correct for trace width calculation.</t>
  </si>
  <si>
    <t xml:space="preserve">        During design, provide Er at 1MHz, and provide predistorted Z0 instead of the required Z0</t>
  </si>
  <si>
    <t xml:space="preserve">        to the design software. This way the real Z0 will be equal to the required value on the</t>
  </si>
  <si>
    <t xml:space="preserve">        given speed. (This works only on FR4).</t>
  </si>
  <si>
    <t>Inner Layer Pad Dia Size:</t>
  </si>
  <si>
    <t>Thermal Inner Diameter:</t>
  </si>
  <si>
    <t>Thermal Outer Diameter:</t>
  </si>
  <si>
    <t>Thermal Spoke Width:</t>
  </si>
  <si>
    <t>Antipad Diameter:</t>
  </si>
  <si>
    <t>Diameter of Solder Mask Clearence:</t>
  </si>
  <si>
    <t>Route Keepout:</t>
  </si>
  <si>
    <t>Outer Layer Pad Dia Size:</t>
  </si>
  <si>
    <t>Route Keepout Diameter:</t>
  </si>
  <si>
    <t>The predistorted Impedance value Z0:</t>
  </si>
  <si>
    <t>AT&amp;S</t>
  </si>
  <si>
    <t>STANDARD</t>
  </si>
  <si>
    <t>ANNULAR RING WIDTH</t>
  </si>
  <si>
    <t>.015mm</t>
  </si>
  <si>
    <t>0.2mm</t>
  </si>
  <si>
    <t>Microvia limit</t>
  </si>
  <si>
    <t>diameter laser hole=0.1mm diameter land=0.3mm</t>
  </si>
  <si>
    <t>Leoben,Shanghai-HDI</t>
  </si>
  <si>
    <t>Klagenfurt,Single Sided-Screen Printing</t>
  </si>
  <si>
    <t>Fohnsdorf</t>
  </si>
  <si>
    <t>Minimum pad to pad gap</t>
  </si>
  <si>
    <t>Inner Layers</t>
  </si>
  <si>
    <t>Outer Layers</t>
  </si>
  <si>
    <t>Covered with Solder mask</t>
  </si>
  <si>
    <t>Not Covered with Solder mask</t>
  </si>
  <si>
    <t>17um Copper</t>
  </si>
  <si>
    <t>0.075mm</t>
  </si>
  <si>
    <t>35um Copper</t>
  </si>
  <si>
    <t>0.100mm</t>
  </si>
  <si>
    <t>0.4mm</t>
  </si>
  <si>
    <t>0.25mm</t>
  </si>
  <si>
    <t>70um Copper</t>
  </si>
  <si>
    <t>0125mm</t>
  </si>
  <si>
    <t>0.6mm</t>
  </si>
  <si>
    <t>0.150mm</t>
  </si>
  <si>
    <t>Minimum track to pad gap</t>
  </si>
  <si>
    <t>Minimum track to track gap</t>
  </si>
  <si>
    <t>Screen Printing</t>
  </si>
  <si>
    <t>0.170mm</t>
  </si>
  <si>
    <t>0.180mm</t>
  </si>
  <si>
    <t>Minimum acceptable track width</t>
  </si>
  <si>
    <t>Minimum acceptable text width</t>
  </si>
  <si>
    <t>0.15mm</t>
  </si>
  <si>
    <t>Minimum resist to copper distance</t>
  </si>
  <si>
    <t>0.08mm</t>
  </si>
  <si>
    <t>0.06mm</t>
  </si>
  <si>
    <t>0.3mm</t>
  </si>
  <si>
    <t>Minimum resist thickness betweenSMD pads</t>
  </si>
  <si>
    <t>0.125mm</t>
  </si>
  <si>
    <t>Minimum resist annular ring</t>
  </si>
  <si>
    <t xml:space="preserve">Minimum acceptable annular ring in local areas </t>
  </si>
  <si>
    <t>Preffered annular ring</t>
  </si>
  <si>
    <t>1:1 with copper</t>
  </si>
  <si>
    <t>0.07mm</t>
  </si>
  <si>
    <t>Silkscreen gaps</t>
  </si>
  <si>
    <t>SIlkscreen to copper</t>
  </si>
  <si>
    <t>Silkscreen to contours or drill holes</t>
  </si>
  <si>
    <t>0.5mm</t>
  </si>
  <si>
    <t>Silkscreen textwidth</t>
  </si>
  <si>
    <t>Minimum line width</t>
  </si>
  <si>
    <t>Minimum character width</t>
  </si>
  <si>
    <t>1mm</t>
  </si>
  <si>
    <t>1.2mm</t>
  </si>
  <si>
    <t>Isolation annular ring</t>
  </si>
  <si>
    <t>Minimum isolation ring</t>
  </si>
  <si>
    <t>0.23mm</t>
  </si>
  <si>
    <t>HOLES</t>
  </si>
  <si>
    <t>1.Holes to signal layer copper</t>
  </si>
  <si>
    <t>Minimum drilled PTH hole to copper</t>
  </si>
  <si>
    <t>Minimum distance from track to internal slot-0.5mm,track width&gt;1mm</t>
  </si>
  <si>
    <t>Minimum drilled NPTH to copper</t>
  </si>
  <si>
    <t>0.1mm</t>
  </si>
  <si>
    <t>Minimum distance from track to internal slot-1mm,track width&lt;1mm</t>
  </si>
  <si>
    <t>0.20mm</t>
  </si>
  <si>
    <t>2.Holes to plane layer copper</t>
  </si>
  <si>
    <t>Minimum finished PTH hole to copper feature</t>
  </si>
  <si>
    <t>copper clearance to hole  - 1mm</t>
  </si>
  <si>
    <t>Minimum finished NPTH hole to copper feature</t>
  </si>
  <si>
    <t>3.Minimum acceptable annular ring</t>
  </si>
  <si>
    <t>GENARAL</t>
  </si>
  <si>
    <t>Via pad to drilled hole size</t>
  </si>
  <si>
    <t>Nominal</t>
  </si>
  <si>
    <t>Minimal</t>
  </si>
  <si>
    <t>Component pad to drilled hole size</t>
  </si>
  <si>
    <t>PROFILES</t>
  </si>
  <si>
    <t>Hinterberg,Shanghai</t>
  </si>
  <si>
    <t>Nominal acceptable distance from copper or holes to board contour on inner layers</t>
  </si>
  <si>
    <t xml:space="preserve">0.3mm </t>
  </si>
  <si>
    <t>Minimal acceptable distance from copper or holes to board contour on inner layers</t>
  </si>
  <si>
    <t>IC Equivalent Calculator</t>
  </si>
  <si>
    <t>FR4-IMPEDANCE</t>
  </si>
  <si>
    <t>DISTORTION</t>
  </si>
  <si>
    <t>FR4 Impedance Distortion Calculator</t>
  </si>
  <si>
    <t>Thermal Copper Area Calculator</t>
  </si>
  <si>
    <t>THERMAL cu AREA</t>
  </si>
  <si>
    <t>PCB STANDARDS</t>
  </si>
  <si>
    <t>IC - EQUIVALENT</t>
  </si>
  <si>
    <t>Number of SMD Pins:</t>
  </si>
  <si>
    <t>Number of Through Hole Pins:</t>
  </si>
  <si>
    <t>IC Equivalent:</t>
  </si>
  <si>
    <t>Available Layout Area:</t>
  </si>
  <si>
    <t>[Inch^2]</t>
  </si>
  <si>
    <t>Thermal Resistance of Junction to Case: θJC</t>
  </si>
  <si>
    <t>Job Quote Calculator</t>
  </si>
  <si>
    <t>JOB-QUOTE</t>
  </si>
  <si>
    <t xml:space="preserve">In  Progress </t>
  </si>
  <si>
    <t>Layout Density:</t>
  </si>
  <si>
    <t>Approximate Routing Layers Required Excluding Planes and External:</t>
  </si>
  <si>
    <t>Not applicable when BGA are used.</t>
  </si>
  <si>
    <t xml:space="preserve">Designed by </t>
  </si>
  <si>
    <t>Designed By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</si>
</sst>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"/>
    <numFmt numFmtId="171" formatCode="0;[Red]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u val="single"/>
      <sz val="20"/>
      <name val="Serpentine"/>
      <family val="0"/>
    </font>
    <font>
      <sz val="8"/>
      <color indexed="10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sz val="18"/>
      <color indexed="10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10"/>
      <name val="Times New Roman"/>
      <family val="1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sz val="16"/>
      <color indexed="10"/>
      <name val="Arial"/>
      <family val="0"/>
    </font>
    <font>
      <u val="single"/>
      <sz val="10.2"/>
      <color indexed="12"/>
      <name val="Times New Roman CE"/>
      <family val="0"/>
    </font>
    <font>
      <b/>
      <sz val="10"/>
      <color indexed="12"/>
      <name val="Arial"/>
      <family val="2"/>
    </font>
    <font>
      <sz val="10"/>
      <color indexed="4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13" fillId="0" borderId="3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8" fillId="0" borderId="0" xfId="0" applyFont="1" applyAlignment="1">
      <alignment horizontal="center"/>
    </xf>
    <xf numFmtId="0" fontId="20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/>
      <protection hidden="1"/>
    </xf>
    <xf numFmtId="0" fontId="5" fillId="0" borderId="6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3" borderId="2" xfId="0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 applyProtection="1">
      <alignment/>
      <protection hidden="1"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3" fillId="0" borderId="1" xfId="0" applyFont="1" applyBorder="1" applyAlignment="1">
      <alignment/>
    </xf>
    <xf numFmtId="0" fontId="22" fillId="3" borderId="1" xfId="0" applyFont="1" applyFill="1" applyBorder="1" applyAlignment="1">
      <alignment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4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hidden="1"/>
    </xf>
    <xf numFmtId="0" fontId="23" fillId="4" borderId="6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3" fillId="0" borderId="1" xfId="0" applyFont="1" applyBorder="1" applyAlignment="1" applyProtection="1">
      <alignment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18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4" borderId="9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2" xfId="0" applyFont="1" applyBorder="1" applyAlignment="1" applyProtection="1">
      <alignment/>
      <protection hidden="1"/>
    </xf>
    <xf numFmtId="0" fontId="10" fillId="4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/>
      <protection hidden="1"/>
    </xf>
    <xf numFmtId="0" fontId="10" fillId="4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>
      <alignment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 applyProtection="1">
      <alignment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3" fillId="2" borderId="6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5" borderId="11" xfId="0" applyFill="1" applyBorder="1" applyAlignment="1" applyProtection="1">
      <alignment horizontal="center"/>
      <protection hidden="1" locked="0"/>
    </xf>
    <xf numFmtId="0" fontId="0" fillId="5" borderId="5" xfId="0" applyFill="1" applyBorder="1" applyAlignment="1" applyProtection="1">
      <alignment horizontal="center"/>
      <protection hidden="1" locked="0"/>
    </xf>
    <xf numFmtId="0" fontId="0" fillId="5" borderId="0" xfId="0" applyFill="1" applyBorder="1" applyAlignment="1" applyProtection="1">
      <alignment/>
      <protection hidden="1" locked="0"/>
    </xf>
    <xf numFmtId="0" fontId="0" fillId="5" borderId="8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8" xfId="0" applyBorder="1" applyAlignment="1" applyProtection="1">
      <alignment horizontal="center"/>
      <protection hidden="1" locked="0"/>
    </xf>
    <xf numFmtId="0" fontId="4" fillId="3" borderId="1" xfId="0" applyFont="1" applyFill="1" applyBorder="1" applyAlignment="1" applyProtection="1">
      <alignment horizontal="center"/>
      <protection hidden="1"/>
    </xf>
    <xf numFmtId="0" fontId="0" fillId="5" borderId="12" xfId="0" applyFill="1" applyBorder="1" applyAlignment="1" applyProtection="1">
      <alignment horizontal="center"/>
      <protection hidden="1" locked="0"/>
    </xf>
    <xf numFmtId="0" fontId="0" fillId="5" borderId="13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7" fillId="0" borderId="7" xfId="0" applyFont="1" applyBorder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 horizontal="right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3" borderId="4" xfId="0" applyFont="1" applyFill="1" applyBorder="1" applyAlignment="1" applyProtection="1">
      <alignment horizontal="left" wrapText="1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hidden="1"/>
    </xf>
    <xf numFmtId="49" fontId="18" fillId="0" borderId="0" xfId="0" applyNumberFormat="1" applyFont="1" applyAlignment="1">
      <alignment horizontal="center"/>
    </xf>
    <xf numFmtId="0" fontId="4" fillId="0" borderId="6" xfId="0" applyFont="1" applyBorder="1" applyAlignment="1">
      <alignment/>
    </xf>
    <xf numFmtId="0" fontId="2" fillId="3" borderId="0" xfId="0" applyFont="1" applyFill="1" applyBorder="1" applyAlignment="1">
      <alignment/>
    </xf>
    <xf numFmtId="0" fontId="6" fillId="3" borderId="6" xfId="0" applyFont="1" applyFill="1" applyBorder="1" applyAlignment="1" applyProtection="1">
      <alignment horizontal="left"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4" fillId="0" borderId="9" xfId="0" applyFont="1" applyBorder="1" applyAlignment="1">
      <alignment/>
    </xf>
    <xf numFmtId="0" fontId="4" fillId="0" borderId="6" xfId="0" applyFont="1" applyBorder="1" applyAlignment="1" applyProtection="1">
      <alignment horizontal="left" wrapText="1"/>
      <protection/>
    </xf>
    <xf numFmtId="0" fontId="4" fillId="0" borderId="14" xfId="0" applyFont="1" applyBorder="1" applyAlignment="1">
      <alignment/>
    </xf>
    <xf numFmtId="0" fontId="6" fillId="3" borderId="6" xfId="0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/>
      <protection hidden="1"/>
    </xf>
    <xf numFmtId="0" fontId="3" fillId="4" borderId="6" xfId="0" applyNumberFormat="1" applyFont="1" applyFill="1" applyBorder="1" applyAlignment="1" applyProtection="1">
      <alignment horizontal="center"/>
      <protection hidden="1"/>
    </xf>
    <xf numFmtId="170" fontId="3" fillId="4" borderId="6" xfId="0" applyNumberFormat="1" applyFont="1" applyFill="1" applyBorder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11" fillId="5" borderId="3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1" fillId="5" borderId="15" xfId="0" applyFont="1" applyFill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/>
      <protection hidden="1"/>
    </xf>
    <xf numFmtId="0" fontId="11" fillId="5" borderId="16" xfId="0" applyFont="1" applyFill="1" applyBorder="1" applyAlignment="1" applyProtection="1">
      <alignment horizontal="center"/>
      <protection hidden="1"/>
    </xf>
    <xf numFmtId="0" fontId="1" fillId="5" borderId="16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2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Alignment="1">
      <alignment vertical="center" wrapText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170" fontId="3" fillId="3" borderId="1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/>
      <protection hidden="1"/>
    </xf>
    <xf numFmtId="2" fontId="1" fillId="3" borderId="1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iperhivatkozás_smdrakt" xfId="20"/>
    <cellStyle name="Hyperlink" xfId="21"/>
    <cellStyle name="Normál_smdrak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64.00390625" style="23" bestFit="1" customWidth="1"/>
    <col min="2" max="2" width="12.00390625" style="22" bestFit="1" customWidth="1"/>
    <col min="3" max="3" width="13.8515625" style="22" bestFit="1" customWidth="1"/>
    <col min="4" max="4" width="20.57421875" style="23" bestFit="1" customWidth="1"/>
    <col min="5" max="5" width="9.140625" style="23" customWidth="1"/>
    <col min="6" max="6" width="38.00390625" style="23" bestFit="1" customWidth="1"/>
    <col min="7" max="16384" width="9.140625" style="23" customWidth="1"/>
  </cols>
  <sheetData>
    <row r="1" ht="18">
      <c r="A1" s="21" t="s">
        <v>10</v>
      </c>
    </row>
    <row r="2" ht="26.25">
      <c r="F2" s="154" t="s">
        <v>20</v>
      </c>
    </row>
    <row r="3" ht="27" thickBot="1">
      <c r="F3" s="155" t="s">
        <v>21</v>
      </c>
    </row>
    <row r="4" spans="1:6" ht="16.5" thickBot="1">
      <c r="A4" s="75" t="s">
        <v>0</v>
      </c>
      <c r="F4" s="156" t="s">
        <v>219</v>
      </c>
    </row>
    <row r="5" ht="13.5" thickBot="1">
      <c r="F5" s="157" t="s">
        <v>17</v>
      </c>
    </row>
    <row r="6" spans="1:6" ht="16.5" thickBot="1">
      <c r="A6" s="59" t="s">
        <v>48</v>
      </c>
      <c r="B6" s="44">
        <v>1</v>
      </c>
      <c r="C6" s="25" t="s">
        <v>1</v>
      </c>
      <c r="F6" s="157" t="s">
        <v>18</v>
      </c>
    </row>
    <row r="7" spans="1:6" ht="16.5" thickBot="1">
      <c r="A7" s="59" t="s">
        <v>49</v>
      </c>
      <c r="B7" s="44">
        <v>10</v>
      </c>
      <c r="C7" s="25" t="s">
        <v>2</v>
      </c>
      <c r="F7" s="157" t="s">
        <v>19</v>
      </c>
    </row>
    <row r="8" spans="1:4" ht="16.5" thickBot="1">
      <c r="A8" s="59" t="s">
        <v>50</v>
      </c>
      <c r="B8" s="44">
        <v>1</v>
      </c>
      <c r="C8" s="25" t="s">
        <v>3</v>
      </c>
      <c r="D8" s="25"/>
    </row>
    <row r="9" ht="12.75">
      <c r="A9" s="26"/>
    </row>
    <row r="10" ht="13.5" thickBot="1">
      <c r="A10" s="27"/>
    </row>
    <row r="11" ht="16.5" thickBot="1">
      <c r="A11" s="97" t="s">
        <v>11</v>
      </c>
    </row>
    <row r="12" ht="13.5" thickBot="1">
      <c r="A12" s="27"/>
    </row>
    <row r="13" spans="1:3" s="30" customFormat="1" ht="13.5" thickBot="1">
      <c r="A13" s="42" t="s">
        <v>4</v>
      </c>
      <c r="B13" s="29"/>
      <c r="C13" s="29"/>
    </row>
    <row r="14" spans="1:3" s="30" customFormat="1" ht="16.5" thickBot="1">
      <c r="A14" s="41" t="s">
        <v>51</v>
      </c>
      <c r="B14" s="40">
        <f>B15/($B$8*1.378)</f>
        <v>39.86495007959481</v>
      </c>
      <c r="C14" s="29" t="s">
        <v>7</v>
      </c>
    </row>
    <row r="15" spans="1:3" s="30" customFormat="1" ht="12.75">
      <c r="A15" s="88" t="s">
        <v>5</v>
      </c>
      <c r="B15" s="88">
        <f>($B$6/(0.015*($B$7)^0.5453))^(1/0.7349)</f>
        <v>54.93390120968164</v>
      </c>
      <c r="C15" s="88" t="s">
        <v>8</v>
      </c>
    </row>
    <row r="16" spans="1:3" s="30" customFormat="1" ht="12.75">
      <c r="A16" s="88"/>
      <c r="B16" s="88"/>
      <c r="C16" s="88"/>
    </row>
    <row r="17" spans="1:3" s="30" customFormat="1" ht="13.5" thickBot="1">
      <c r="A17" s="88"/>
      <c r="B17" s="88"/>
      <c r="C17" s="88"/>
    </row>
    <row r="18" spans="1:3" s="30" customFormat="1" ht="13.5" thickBot="1">
      <c r="A18" s="42" t="s">
        <v>6</v>
      </c>
      <c r="B18" s="29"/>
      <c r="C18" s="29"/>
    </row>
    <row r="19" spans="1:3" s="30" customFormat="1" ht="16.5" thickBot="1">
      <c r="A19" s="41" t="s">
        <v>52</v>
      </c>
      <c r="B19" s="40">
        <f>B20/($B$8*1.378)</f>
        <v>9.798650996476736</v>
      </c>
      <c r="C19" s="29" t="s">
        <v>7</v>
      </c>
    </row>
    <row r="20" spans="1:3" s="30" customFormat="1" ht="12.75">
      <c r="A20" s="88" t="s">
        <v>5</v>
      </c>
      <c r="B20" s="88">
        <f>($B$6/(0.0647*($B$7)^0.4281))^(1/0.6732)</f>
        <v>13.502541073144942</v>
      </c>
      <c r="C20" s="88" t="s">
        <v>8</v>
      </c>
    </row>
    <row r="21" spans="1:3" ht="12.75">
      <c r="A21" s="88"/>
      <c r="B21" s="88"/>
      <c r="C21" s="88"/>
    </row>
    <row r="22" spans="1:3" ht="12.75">
      <c r="A22" s="88"/>
      <c r="B22" s="88"/>
      <c r="C22" s="88"/>
    </row>
    <row r="23" spans="1:3" ht="12.75">
      <c r="A23" s="88"/>
      <c r="B23" s="88"/>
      <c r="C23" s="88"/>
    </row>
    <row r="26" ht="12.75">
      <c r="A26" s="33" t="s">
        <v>31</v>
      </c>
    </row>
    <row r="27" ht="15.75">
      <c r="A27" s="34" t="s">
        <v>44</v>
      </c>
    </row>
    <row r="28" ht="12.75">
      <c r="A28" s="35" t="s">
        <v>45</v>
      </c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2" sqref="B12"/>
    </sheetView>
  </sheetViews>
  <sheetFormatPr defaultColWidth="9.140625" defaultRowHeight="12.75"/>
  <cols>
    <col min="1" max="1" width="32.140625" style="0" bestFit="1" customWidth="1"/>
    <col min="2" max="2" width="30.00390625" style="0" bestFit="1" customWidth="1"/>
    <col min="8" max="8" width="31.8515625" style="0" bestFit="1" customWidth="1"/>
  </cols>
  <sheetData>
    <row r="1" spans="1:8" ht="26.25" thickBot="1">
      <c r="A1" s="151" t="s">
        <v>213</v>
      </c>
      <c r="H1" s="154" t="s">
        <v>214</v>
      </c>
    </row>
    <row r="2" ht="25.5">
      <c r="H2" s="155" t="s">
        <v>21</v>
      </c>
    </row>
    <row r="3" ht="12.75">
      <c r="H3" s="156" t="s">
        <v>219</v>
      </c>
    </row>
    <row r="4" ht="12.75">
      <c r="H4" s="157" t="s">
        <v>17</v>
      </c>
    </row>
    <row r="5" ht="12.75">
      <c r="H5" s="157" t="s">
        <v>18</v>
      </c>
    </row>
    <row r="6" ht="12.75">
      <c r="H6" s="157" t="s">
        <v>19</v>
      </c>
    </row>
    <row r="11" ht="13.5" thickBot="1"/>
    <row r="12" ht="18.75" thickBot="1">
      <c r="B12" s="150" t="s">
        <v>215</v>
      </c>
    </row>
  </sheetData>
  <sheetProtection password="DCBC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30" sqref="B30"/>
    </sheetView>
  </sheetViews>
  <sheetFormatPr defaultColWidth="9.140625" defaultRowHeight="12.75"/>
  <cols>
    <col min="1" max="1" width="59.421875" style="66" bestFit="1" customWidth="1"/>
    <col min="2" max="2" width="29.28125" style="66" customWidth="1"/>
    <col min="3" max="3" width="9.00390625" style="65" bestFit="1" customWidth="1"/>
    <col min="4" max="4" width="28.8515625" style="66" bestFit="1" customWidth="1"/>
    <col min="5" max="5" width="9.140625" style="66" customWidth="1"/>
    <col min="6" max="6" width="37.57421875" style="66" customWidth="1"/>
    <col min="7" max="10" width="9.140625" style="66" hidden="1" customWidth="1"/>
    <col min="11" max="16384" width="9.140625" style="66" customWidth="1"/>
  </cols>
  <sheetData>
    <row r="1" ht="18">
      <c r="A1" s="21" t="s">
        <v>12</v>
      </c>
    </row>
    <row r="2" spans="1:10" ht="26.25" thickBot="1">
      <c r="A2" s="72"/>
      <c r="F2" s="158" t="s">
        <v>22</v>
      </c>
      <c r="G2" s="108"/>
      <c r="H2" s="108"/>
      <c r="I2" s="108"/>
      <c r="J2" s="108"/>
    </row>
    <row r="3" spans="1:10" ht="16.5" thickBot="1">
      <c r="A3" s="109" t="s">
        <v>0</v>
      </c>
      <c r="B3" s="110"/>
      <c r="F3" s="159"/>
      <c r="G3" s="111"/>
      <c r="H3" s="111"/>
      <c r="I3" s="111"/>
      <c r="J3" s="112"/>
    </row>
    <row r="4" spans="1:10" ht="25.5">
      <c r="A4" s="35"/>
      <c r="F4" s="160" t="s">
        <v>21</v>
      </c>
      <c r="G4" s="113"/>
      <c r="H4" s="113"/>
      <c r="I4" s="113"/>
      <c r="J4" s="114"/>
    </row>
    <row r="5" spans="1:10" ht="13.5" thickBot="1">
      <c r="A5" s="72"/>
      <c r="B5" s="72"/>
      <c r="F5" s="161" t="s">
        <v>219</v>
      </c>
      <c r="G5" s="115"/>
      <c r="H5" s="115"/>
      <c r="I5" s="115"/>
      <c r="J5" s="116"/>
    </row>
    <row r="6" spans="1:10" ht="13.5" thickBot="1">
      <c r="A6" s="59" t="s">
        <v>53</v>
      </c>
      <c r="B6" s="136">
        <v>12</v>
      </c>
      <c r="C6" s="67" t="s">
        <v>14</v>
      </c>
      <c r="F6" s="162" t="s">
        <v>17</v>
      </c>
      <c r="G6" s="117"/>
      <c r="H6" s="117"/>
      <c r="I6" s="117"/>
      <c r="J6" s="118"/>
    </row>
    <row r="7" spans="1:10" ht="13.5" thickBot="1">
      <c r="A7" s="144" t="s">
        <v>54</v>
      </c>
      <c r="B7" s="136">
        <v>10</v>
      </c>
      <c r="C7" s="119" t="s">
        <v>15</v>
      </c>
      <c r="F7" s="162" t="s">
        <v>18</v>
      </c>
      <c r="G7" s="120"/>
      <c r="H7" s="120"/>
      <c r="I7" s="120"/>
      <c r="J7" s="121"/>
    </row>
    <row r="8" spans="1:6" ht="13.5" thickBot="1">
      <c r="A8" s="59" t="s">
        <v>55</v>
      </c>
      <c r="B8" s="136">
        <v>1.38</v>
      </c>
      <c r="C8" s="67" t="s">
        <v>14</v>
      </c>
      <c r="D8" s="24" t="s">
        <v>93</v>
      </c>
      <c r="F8" s="162" t="s">
        <v>19</v>
      </c>
    </row>
    <row r="9" spans="1:3" ht="13.5" thickBot="1">
      <c r="A9" s="145" t="s">
        <v>56</v>
      </c>
      <c r="B9" s="136">
        <v>5</v>
      </c>
      <c r="C9" s="67" t="s">
        <v>1</v>
      </c>
    </row>
    <row r="10" spans="1:3" ht="12.75">
      <c r="A10" s="122"/>
      <c r="B10" s="123"/>
      <c r="C10" s="67"/>
    </row>
    <row r="11" spans="1:3" ht="13.5" thickBot="1">
      <c r="A11" s="122"/>
      <c r="B11" s="124"/>
      <c r="C11" s="67"/>
    </row>
    <row r="12" spans="1:2" ht="24" thickBot="1">
      <c r="A12" s="97" t="s">
        <v>11</v>
      </c>
      <c r="B12" s="125">
        <f>IF((B6&gt;200),"Maximum Via Diameter Can't be Greater That 200 Mils.","")</f>
      </c>
    </row>
    <row r="13" spans="1:2" ht="24" thickBot="1">
      <c r="A13" s="94"/>
      <c r="B13" s="126">
        <f>IF((B6&lt;6),"Minimum Via Diameter Can't be Less Than 6 Mils.","")</f>
      </c>
    </row>
    <row r="14" spans="1:3" ht="16.5" thickBot="1">
      <c r="A14" s="142" t="s">
        <v>102</v>
      </c>
      <c r="B14" s="107">
        <f>0.024*POWER(B7,0.44)*POWER(B30,0.72)</f>
        <v>1.13690461050482</v>
      </c>
      <c r="C14" s="29" t="s">
        <v>7</v>
      </c>
    </row>
    <row r="15" spans="1:3" ht="13.5" thickBot="1">
      <c r="A15" s="94"/>
      <c r="B15" s="127"/>
      <c r="C15" s="128"/>
    </row>
    <row r="16" spans="1:3" ht="16.5" thickBot="1">
      <c r="A16" s="143" t="s">
        <v>101</v>
      </c>
      <c r="B16" s="107">
        <f>ROUNDUP((B9/B14),0)</f>
        <v>5</v>
      </c>
      <c r="C16" s="29" t="s">
        <v>7</v>
      </c>
    </row>
    <row r="17" spans="1:3" ht="12.75">
      <c r="A17" s="35"/>
      <c r="B17" s="129"/>
      <c r="C17" s="130"/>
    </row>
    <row r="18" spans="1:5" ht="12.75">
      <c r="A18" s="131"/>
      <c r="B18" s="131"/>
      <c r="C18" s="132"/>
      <c r="D18" s="133"/>
      <c r="E18" s="133"/>
    </row>
    <row r="19" spans="4:5" ht="12.75">
      <c r="D19" s="172"/>
      <c r="E19" s="173"/>
    </row>
    <row r="20" spans="4:5" ht="12.75">
      <c r="D20" s="174"/>
      <c r="E20" s="173"/>
    </row>
    <row r="21" spans="2:5" ht="12.75">
      <c r="B21" s="133"/>
      <c r="C21" s="132"/>
      <c r="D21" s="133"/>
      <c r="E21" s="133"/>
    </row>
    <row r="22" spans="2:5" ht="12.75">
      <c r="B22" s="131"/>
      <c r="C22" s="132"/>
      <c r="D22" s="133"/>
      <c r="E22" s="133"/>
    </row>
    <row r="23" spans="4:5" ht="12.75">
      <c r="D23" s="175"/>
      <c r="E23" s="173"/>
    </row>
    <row r="24" spans="1:12" ht="12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7" ht="12.75">
      <c r="A27" s="33" t="s">
        <v>31</v>
      </c>
    </row>
    <row r="28" ht="15.75">
      <c r="A28" s="34" t="s">
        <v>44</v>
      </c>
    </row>
    <row r="29" ht="12.75">
      <c r="A29" s="35" t="s">
        <v>45</v>
      </c>
    </row>
    <row r="30" spans="1:3" ht="12.75">
      <c r="A30" s="66" t="s">
        <v>13</v>
      </c>
      <c r="B30" s="135">
        <f>3.14*B6*B8</f>
        <v>51.9984</v>
      </c>
      <c r="C30" s="88" t="s">
        <v>16</v>
      </c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mergeCells count="2">
    <mergeCell ref="D19:E20"/>
    <mergeCell ref="D23:E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3" sqref="B13"/>
    </sheetView>
  </sheetViews>
  <sheetFormatPr defaultColWidth="9.140625" defaultRowHeight="12.75"/>
  <cols>
    <col min="1" max="1" width="59.421875" style="0" bestFit="1" customWidth="1"/>
    <col min="2" max="2" width="12.00390625" style="0" bestFit="1" customWidth="1"/>
    <col min="3" max="3" width="44.57421875" style="0" bestFit="1" customWidth="1"/>
    <col min="8" max="8" width="39.421875" style="0" bestFit="1" customWidth="1"/>
    <col min="16" max="16" width="39.421875" style="0" bestFit="1" customWidth="1"/>
  </cols>
  <sheetData>
    <row r="1" ht="18">
      <c r="A1" s="3" t="s">
        <v>24</v>
      </c>
    </row>
    <row r="2" ht="26.25">
      <c r="H2" s="154" t="s">
        <v>23</v>
      </c>
    </row>
    <row r="3" spans="1:8" ht="13.5" thickBot="1">
      <c r="A3" s="7"/>
      <c r="B3" s="7"/>
      <c r="C3" s="10"/>
      <c r="H3" s="163"/>
    </row>
    <row r="4" spans="1:8" ht="27" thickBot="1">
      <c r="A4" s="57" t="s">
        <v>0</v>
      </c>
      <c r="B4" s="7"/>
      <c r="C4" s="10"/>
      <c r="H4" s="155" t="s">
        <v>21</v>
      </c>
    </row>
    <row r="5" spans="1:8" ht="13.5" thickBot="1">
      <c r="A5" s="45"/>
      <c r="B5" s="45"/>
      <c r="C5" s="10"/>
      <c r="H5" s="156" t="s">
        <v>219</v>
      </c>
    </row>
    <row r="6" spans="1:8" ht="13.5" thickBot="1">
      <c r="A6" s="146" t="s">
        <v>95</v>
      </c>
      <c r="B6" s="137">
        <v>1</v>
      </c>
      <c r="C6" s="58" t="s">
        <v>103</v>
      </c>
      <c r="H6" s="157" t="s">
        <v>17</v>
      </c>
    </row>
    <row r="7" spans="1:8" ht="13.5" thickBot="1">
      <c r="A7" s="147" t="s">
        <v>96</v>
      </c>
      <c r="B7" s="137">
        <v>4.3</v>
      </c>
      <c r="C7" s="58" t="s">
        <v>61</v>
      </c>
      <c r="H7" s="157" t="s">
        <v>18</v>
      </c>
    </row>
    <row r="8" spans="1:8" ht="13.5" thickBot="1">
      <c r="A8" s="148" t="s">
        <v>97</v>
      </c>
      <c r="B8" s="137">
        <v>1</v>
      </c>
      <c r="C8" s="58" t="s">
        <v>94</v>
      </c>
      <c r="H8" s="157" t="s">
        <v>19</v>
      </c>
    </row>
    <row r="9" spans="1:3" ht="13.5" thickBot="1">
      <c r="A9" s="46"/>
      <c r="B9" s="47"/>
      <c r="C9" s="11"/>
    </row>
    <row r="10" spans="1:3" ht="16.5" thickBot="1">
      <c r="A10" s="92" t="s">
        <v>11</v>
      </c>
      <c r="B10" s="98"/>
      <c r="C10" s="11"/>
    </row>
    <row r="11" spans="1:3" ht="12.75">
      <c r="A11" s="16"/>
      <c r="B11" s="7"/>
      <c r="C11" s="11"/>
    </row>
    <row r="12" spans="1:3" ht="13.5" thickBot="1">
      <c r="A12" s="45"/>
      <c r="B12" s="49"/>
      <c r="C12" s="10"/>
    </row>
    <row r="13" spans="1:3" ht="16.5" thickBot="1">
      <c r="A13" s="149" t="s">
        <v>98</v>
      </c>
      <c r="B13" s="153">
        <f>((B15/7)*39.36996)</f>
        <v>2.7122686598766057</v>
      </c>
      <c r="C13" s="48" t="s">
        <v>25</v>
      </c>
    </row>
    <row r="14" spans="1:3" ht="16.5" thickBot="1">
      <c r="A14" s="53" t="s">
        <v>99</v>
      </c>
      <c r="B14" s="153">
        <f>IF(B8=1,B20)+IF(B8=2,B21)+IF(B8=3,B22)</f>
        <v>0.13958044555470508</v>
      </c>
      <c r="C14" s="13" t="s">
        <v>30</v>
      </c>
    </row>
    <row r="15" spans="1:3" ht="16.5" thickBot="1">
      <c r="A15" s="53" t="s">
        <v>100</v>
      </c>
      <c r="B15" s="153">
        <f>B6/SQRT(B7)</f>
        <v>0.48224282217041214</v>
      </c>
      <c r="C15" s="48" t="s">
        <v>26</v>
      </c>
    </row>
    <row r="16" spans="1:3" ht="12.75">
      <c r="A16" s="16"/>
      <c r="B16" s="16"/>
      <c r="C16" s="7"/>
    </row>
    <row r="20" spans="1:3" ht="12.75">
      <c r="A20" s="37" t="s">
        <v>27</v>
      </c>
      <c r="B20" s="38">
        <v>0.13958044555470508</v>
      </c>
      <c r="C20" s="39" t="s">
        <v>30</v>
      </c>
    </row>
    <row r="21" spans="1:3" ht="12.75">
      <c r="A21" s="37" t="s">
        <v>28</v>
      </c>
      <c r="B21" s="38">
        <v>0.17574134046945242</v>
      </c>
      <c r="C21" s="39" t="s">
        <v>30</v>
      </c>
    </row>
    <row r="22" spans="1:3" ht="12.75">
      <c r="A22" s="37" t="s">
        <v>29</v>
      </c>
      <c r="B22" s="38">
        <f>0.08475*SQRT(B7)</f>
        <v>0.17574134046945245</v>
      </c>
      <c r="C22" s="39" t="s">
        <v>30</v>
      </c>
    </row>
    <row r="23" spans="1:3" ht="12.75">
      <c r="A23" s="20"/>
      <c r="B23" s="20"/>
      <c r="C23" s="20"/>
    </row>
    <row r="25" ht="12.75">
      <c r="A25" s="14" t="s">
        <v>31</v>
      </c>
    </row>
    <row r="26" ht="15.75">
      <c r="A26" s="15" t="s">
        <v>44</v>
      </c>
    </row>
    <row r="27" ht="12.75">
      <c r="A27" s="16" t="s">
        <v>45</v>
      </c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B12" sqref="B12"/>
    </sheetView>
  </sheetViews>
  <sheetFormatPr defaultColWidth="9.140625" defaultRowHeight="12.75"/>
  <cols>
    <col min="1" max="1" width="59.421875" style="4" bestFit="1" customWidth="1"/>
    <col min="2" max="2" width="39.140625" style="4" bestFit="1" customWidth="1"/>
    <col min="3" max="3" width="14.140625" style="4" bestFit="1" customWidth="1"/>
    <col min="5" max="5" width="31.8515625" style="0" bestFit="1" customWidth="1"/>
  </cols>
  <sheetData>
    <row r="1" ht="18">
      <c r="A1" s="3" t="s">
        <v>41</v>
      </c>
    </row>
    <row r="2" ht="26.25">
      <c r="E2" s="154" t="s">
        <v>42</v>
      </c>
    </row>
    <row r="3" ht="12.75">
      <c r="E3" s="163"/>
    </row>
    <row r="4" ht="27" thickBot="1">
      <c r="E4" s="155" t="s">
        <v>21</v>
      </c>
    </row>
    <row r="5" spans="1:5" ht="16.5" thickBot="1">
      <c r="A5" s="57" t="s">
        <v>0</v>
      </c>
      <c r="E5" s="156" t="s">
        <v>219</v>
      </c>
    </row>
    <row r="6" ht="13.5" thickBot="1">
      <c r="E6" s="157" t="s">
        <v>17</v>
      </c>
    </row>
    <row r="7" spans="1:5" ht="13.5" thickBot="1">
      <c r="A7" s="52" t="s">
        <v>57</v>
      </c>
      <c r="B7" s="137">
        <v>2</v>
      </c>
      <c r="C7" s="58" t="s">
        <v>9</v>
      </c>
      <c r="E7" s="157" t="s">
        <v>18</v>
      </c>
    </row>
    <row r="8" ht="12.75">
      <c r="E8" s="157" t="s">
        <v>19</v>
      </c>
    </row>
    <row r="9" ht="13.5" thickBot="1"/>
    <row r="10" ht="16.5" thickBot="1">
      <c r="A10" s="92" t="s">
        <v>11</v>
      </c>
    </row>
    <row r="11" ht="13.5" thickBot="1"/>
    <row r="12" spans="1:3" ht="17.25" customHeight="1" thickBot="1">
      <c r="A12" s="149" t="s">
        <v>58</v>
      </c>
      <c r="B12" s="152">
        <f>IF((AND((B7&gt;0),(B7&lt;=30))=TRUE),B29,IF((AND((B7&gt;=31),(B7&lt;=100))=TRUE),B30,IF((AND((B7&gt;=101),(B7&lt;=150))=TRUE),B31,IF((AND((B7&gt;=151),(B7&lt;=170))=TRUE),B32,IF((AND((B7&gt;=171),(B7&lt;=300))=TRUE),B33,IF((AND((B7&gt;=301),(B7&lt;=500))=TRUE),B34,B36))))))</f>
        <v>4</v>
      </c>
      <c r="C12" s="5" t="s">
        <v>7</v>
      </c>
    </row>
    <row r="13" spans="2:3" ht="13.5" thickBot="1">
      <c r="B13" s="46"/>
      <c r="C13" s="13"/>
    </row>
    <row r="14" spans="1:3" ht="16.5" thickBot="1">
      <c r="A14" s="149" t="s">
        <v>43</v>
      </c>
      <c r="B14" s="152">
        <f>IF((AND((B7&gt;0),(B7&lt;=30))=TRUE),C29,IF((AND((B7&gt;=31),(B7&lt;=100))=TRUE),C30,IF((AND((B7&gt;=101),(B7&lt;=150))=TRUE),C31,IF((AND((B7&gt;=151),(B7&lt;=170))=TRUE),C32,IF((AND((B7&gt;=171),(B7&lt;=300))=TRUE),C33,IF((AND((B7&gt;=301),(B7&lt;=500))=TRUE),C34,C36))))))</f>
        <v>2</v>
      </c>
      <c r="C14" s="5" t="s">
        <v>7</v>
      </c>
    </row>
    <row r="19" ht="12.75">
      <c r="A19" s="14" t="s">
        <v>31</v>
      </c>
    </row>
    <row r="20" ht="15.75">
      <c r="A20" s="15" t="s">
        <v>44</v>
      </c>
    </row>
    <row r="21" ht="12.75">
      <c r="A21" s="16" t="s">
        <v>45</v>
      </c>
    </row>
    <row r="23" spans="1:2" ht="12.75">
      <c r="A23" s="50"/>
      <c r="B23" s="50"/>
    </row>
    <row r="24" spans="1:2" ht="12.75">
      <c r="A24" s="50"/>
      <c r="B24" s="50"/>
    </row>
    <row r="25" spans="1:4" ht="12.75">
      <c r="A25" s="36"/>
      <c r="B25" s="36"/>
      <c r="C25" s="36"/>
      <c r="D25" s="51"/>
    </row>
    <row r="26" spans="1:4" ht="12.75">
      <c r="A26" s="36"/>
      <c r="B26" s="36"/>
      <c r="C26" s="36"/>
      <c r="D26" s="51"/>
    </row>
    <row r="27" spans="1:4" ht="12.75">
      <c r="A27" s="36"/>
      <c r="B27" s="36" t="s">
        <v>46</v>
      </c>
      <c r="C27" s="36" t="s">
        <v>47</v>
      </c>
      <c r="D27" s="51"/>
    </row>
    <row r="28" spans="1:4" ht="12.75">
      <c r="A28" s="36"/>
      <c r="B28" s="36"/>
      <c r="C28" s="36"/>
      <c r="D28" s="51"/>
    </row>
    <row r="29" spans="1:4" ht="12.75">
      <c r="A29" s="36" t="s">
        <v>32</v>
      </c>
      <c r="B29" s="36">
        <v>4</v>
      </c>
      <c r="C29" s="36">
        <v>2</v>
      </c>
      <c r="D29" s="51"/>
    </row>
    <row r="30" spans="1:4" ht="12.75">
      <c r="A30" s="36" t="s">
        <v>33</v>
      </c>
      <c r="B30" s="36">
        <v>24</v>
      </c>
      <c r="C30" s="36">
        <v>4</v>
      </c>
      <c r="D30" s="51"/>
    </row>
    <row r="31" spans="1:4" ht="12.75">
      <c r="A31" s="36" t="s">
        <v>34</v>
      </c>
      <c r="B31" s="36">
        <v>24</v>
      </c>
      <c r="C31" s="36">
        <v>8</v>
      </c>
      <c r="D31" s="51"/>
    </row>
    <row r="32" spans="1:4" ht="12.75">
      <c r="A32" s="36" t="s">
        <v>35</v>
      </c>
      <c r="B32" s="36">
        <v>50</v>
      </c>
      <c r="C32" s="36">
        <v>8</v>
      </c>
      <c r="D32" s="51"/>
    </row>
    <row r="33" spans="1:4" ht="12.75">
      <c r="A33" s="36" t="s">
        <v>36</v>
      </c>
      <c r="B33" s="36">
        <v>50</v>
      </c>
      <c r="C33" s="36">
        <v>8</v>
      </c>
      <c r="D33" s="51"/>
    </row>
    <row r="34" spans="1:4" ht="12.75">
      <c r="A34" s="36" t="s">
        <v>37</v>
      </c>
      <c r="B34" s="36">
        <v>99</v>
      </c>
      <c r="C34" s="36">
        <v>10</v>
      </c>
      <c r="D34" s="51"/>
    </row>
    <row r="35" spans="1:4" ht="12.75">
      <c r="A35" s="36" t="s">
        <v>38</v>
      </c>
      <c r="B35" s="36" t="s">
        <v>39</v>
      </c>
      <c r="C35" s="36" t="s">
        <v>40</v>
      </c>
      <c r="D35" s="51"/>
    </row>
    <row r="36" spans="1:4" ht="12.75">
      <c r="A36" s="36"/>
      <c r="B36" s="36">
        <f>99+((B7-500)*0.09842525)</f>
        <v>49.984225499999994</v>
      </c>
      <c r="C36" s="36">
        <f>10+((B7-500)*0.1968505)</f>
        <v>-88.03154900000001</v>
      </c>
      <c r="D36" s="51"/>
    </row>
    <row r="37" spans="1:4" ht="12.75">
      <c r="A37" s="36"/>
      <c r="B37" s="36"/>
      <c r="C37" s="36"/>
      <c r="D37" s="51"/>
    </row>
    <row r="38" spans="1:4" ht="12.75">
      <c r="A38" s="36"/>
      <c r="B38" s="36"/>
      <c r="C38" s="36"/>
      <c r="D38" s="51"/>
    </row>
    <row r="39" spans="1:4" ht="12.75">
      <c r="A39" s="36"/>
      <c r="B39" s="36"/>
      <c r="C39" s="36"/>
      <c r="D39" s="51"/>
    </row>
    <row r="40" spans="1:4" ht="12.75">
      <c r="A40" s="36"/>
      <c r="B40" s="36"/>
      <c r="C40" s="36"/>
      <c r="D40" s="51"/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7" sqref="B7"/>
    </sheetView>
  </sheetViews>
  <sheetFormatPr defaultColWidth="9.140625" defaultRowHeight="12.75"/>
  <cols>
    <col min="1" max="1" width="59.421875" style="0" bestFit="1" customWidth="1"/>
    <col min="2" max="2" width="21.421875" style="0" customWidth="1"/>
    <col min="3" max="3" width="13.8515625" style="0" bestFit="1" customWidth="1"/>
    <col min="4" max="4" width="20.57421875" style="0" bestFit="1" customWidth="1"/>
    <col min="6" max="6" width="38.00390625" style="0" bestFit="1" customWidth="1"/>
    <col min="7" max="7" width="11.7109375" style="0" bestFit="1" customWidth="1"/>
  </cols>
  <sheetData>
    <row r="1" spans="1:3" ht="18">
      <c r="A1" s="3" t="s">
        <v>59</v>
      </c>
      <c r="B1" s="4"/>
      <c r="C1" s="4"/>
    </row>
    <row r="2" spans="2:6" ht="25.5">
      <c r="B2" s="4"/>
      <c r="C2" s="4"/>
      <c r="F2" s="154" t="s">
        <v>60</v>
      </c>
    </row>
    <row r="3" spans="2:6" ht="12.75">
      <c r="B3" s="4"/>
      <c r="C3" s="4"/>
      <c r="F3" s="163"/>
    </row>
    <row r="4" spans="2:6" ht="26.25" thickBot="1">
      <c r="B4" s="4"/>
      <c r="C4" s="4"/>
      <c r="F4" s="155" t="s">
        <v>21</v>
      </c>
    </row>
    <row r="5" spans="1:6" ht="16.5" thickBot="1">
      <c r="A5" s="57" t="s">
        <v>0</v>
      </c>
      <c r="B5" s="4"/>
      <c r="C5" s="4"/>
      <c r="F5" s="156" t="s">
        <v>219</v>
      </c>
    </row>
    <row r="6" spans="2:6" ht="13.5" thickBot="1">
      <c r="B6" s="4"/>
      <c r="C6" s="4"/>
      <c r="F6" s="157" t="s">
        <v>17</v>
      </c>
    </row>
    <row r="7" spans="1:6" ht="16.5" thickBot="1">
      <c r="A7" s="52" t="s">
        <v>104</v>
      </c>
      <c r="B7" s="75">
        <v>12</v>
      </c>
      <c r="C7" s="9" t="s">
        <v>14</v>
      </c>
      <c r="F7" s="157" t="s">
        <v>18</v>
      </c>
    </row>
    <row r="8" spans="1:6" ht="12.75">
      <c r="A8" s="1"/>
      <c r="B8" s="4"/>
      <c r="C8" s="4"/>
      <c r="F8" s="157" t="s">
        <v>19</v>
      </c>
    </row>
    <row r="9" spans="1:3" ht="13.5" thickBot="1">
      <c r="A9" s="2"/>
      <c r="B9" s="4"/>
      <c r="C9" s="4"/>
    </row>
    <row r="10" spans="1:3" ht="16.5" thickBot="1">
      <c r="A10" s="92" t="s">
        <v>11</v>
      </c>
      <c r="B10" s="4"/>
      <c r="C10" s="4"/>
    </row>
    <row r="11" spans="1:3" ht="13.5" thickBot="1">
      <c r="A11" s="2"/>
      <c r="B11" s="4"/>
      <c r="C11" s="4"/>
    </row>
    <row r="12" spans="1:4" ht="13.5" thickBot="1">
      <c r="A12" s="54" t="s">
        <v>71</v>
      </c>
      <c r="B12" s="5"/>
      <c r="C12" s="5"/>
      <c r="D12" s="6"/>
    </row>
    <row r="13" spans="1:4" ht="12.75">
      <c r="A13" s="89"/>
      <c r="B13" s="5"/>
      <c r="C13" s="5"/>
      <c r="D13" s="6"/>
    </row>
    <row r="14" spans="1:4" ht="21" thickBot="1">
      <c r="A14" s="23"/>
      <c r="B14" s="138">
        <f>IF(((B7&gt;=6)*AND(B7&lt;=250)),"","Drill Diameter Can't be Greater Than 250 Mils.Holes Larger Than 250 Mils need to be Routed Out.It Cannot be less Than 6 Mils")</f>
      </c>
      <c r="C14" s="23"/>
      <c r="D14" s="6"/>
    </row>
    <row r="15" spans="1:6" ht="18.75" thickBot="1">
      <c r="A15" s="41" t="s">
        <v>105</v>
      </c>
      <c r="B15" s="107">
        <f>B7+17</f>
        <v>29</v>
      </c>
      <c r="C15" s="29" t="s">
        <v>7</v>
      </c>
      <c r="D15" s="19"/>
      <c r="E15" s="6"/>
      <c r="F15" s="6"/>
    </row>
    <row r="16" spans="1:6" ht="18.75" thickBot="1">
      <c r="A16" s="41" t="s">
        <v>110</v>
      </c>
      <c r="B16" s="107">
        <f>B7+19</f>
        <v>31</v>
      </c>
      <c r="C16" s="29" t="s">
        <v>7</v>
      </c>
      <c r="D16" s="19"/>
      <c r="E16" s="6"/>
      <c r="F16" s="6"/>
    </row>
    <row r="17" spans="4:6" ht="13.5" thickBot="1">
      <c r="D17" s="6"/>
      <c r="E17" s="6"/>
      <c r="F17" s="6"/>
    </row>
    <row r="18" spans="1:6" ht="18.75" thickBot="1">
      <c r="A18" s="53" t="s">
        <v>111</v>
      </c>
      <c r="B18" s="107" t="str">
        <f>IF((B7&lt;=12),"FULL CONTACT",B7+19)</f>
        <v>FULL CONTACT</v>
      </c>
      <c r="C18" s="5" t="s">
        <v>7</v>
      </c>
      <c r="D18" s="19"/>
      <c r="E18" s="6"/>
      <c r="F18" s="6"/>
    </row>
    <row r="19" spans="1:6" ht="18.75" thickBot="1">
      <c r="A19" s="53" t="s">
        <v>112</v>
      </c>
      <c r="B19" s="107" t="str">
        <f>IF((B7&lt;=12),"FULL CONTACT",B7+39)</f>
        <v>FULL CONTACT</v>
      </c>
      <c r="C19" s="5" t="s">
        <v>7</v>
      </c>
      <c r="D19" s="19"/>
      <c r="E19" s="6"/>
      <c r="F19" s="6"/>
    </row>
    <row r="20" spans="1:6" ht="18.75" thickBot="1">
      <c r="A20" s="53" t="s">
        <v>113</v>
      </c>
      <c r="B20" s="107">
        <f>IF((AND((B7&gt;=6),(B7&lt;=14))=TRUE),G31,IF((AND((B7&gt;=15),(B7&lt;=22))=TRUE),G32,IF((AND((B7&gt;=23),(B7&lt;=45))=TRUE),G33,IF((AND((B7&gt;=46),(B7&lt;=65))=TRUE),G34,IF((AND((B7&gt;=66),(B7&lt;=124))=TRUE),G35,IF((AND((B7&gt;=124),(B7&lt;=250))=TRUE),G36,"NOT APPLICABLE"))))))</f>
        <v>6</v>
      </c>
      <c r="C20" s="5" t="s">
        <v>7</v>
      </c>
      <c r="D20" s="168" t="str">
        <f>IF(B18="FULL CONTACT","Thermal Spoke Width Not applicable","")</f>
        <v>Thermal Spoke Width Not applicable</v>
      </c>
      <c r="E20" s="6"/>
      <c r="F20" s="6"/>
    </row>
    <row r="21" spans="5:6" ht="13.5" thickBot="1">
      <c r="E21" s="6"/>
      <c r="F21" s="6"/>
    </row>
    <row r="22" spans="1:6" ht="18.75" thickBot="1">
      <c r="A22" s="53" t="s">
        <v>114</v>
      </c>
      <c r="B22" s="107">
        <f>B7+27</f>
        <v>39</v>
      </c>
      <c r="C22" s="5" t="s">
        <v>7</v>
      </c>
      <c r="D22" s="19"/>
      <c r="E22" s="6"/>
      <c r="F22" s="6"/>
    </row>
    <row r="23" ht="13.5" thickBot="1"/>
    <row r="24" spans="1:3" ht="16.5" thickBot="1">
      <c r="A24" s="53" t="s">
        <v>115</v>
      </c>
      <c r="B24" s="107">
        <f>B15</f>
        <v>29</v>
      </c>
      <c r="C24" s="5" t="s">
        <v>7</v>
      </c>
    </row>
    <row r="25" ht="13.5" thickBot="1"/>
    <row r="26" spans="1:2" ht="16.5" thickBot="1">
      <c r="A26" s="55" t="s">
        <v>116</v>
      </c>
      <c r="B26" s="107" t="s">
        <v>70</v>
      </c>
    </row>
    <row r="29" spans="1:3" ht="12.75">
      <c r="A29" s="17" t="s">
        <v>72</v>
      </c>
      <c r="B29" s="5"/>
      <c r="C29" s="5"/>
    </row>
    <row r="30" spans="1:7" ht="16.5" thickBot="1">
      <c r="A30" s="6"/>
      <c r="B30" s="56"/>
      <c r="C30" s="5"/>
      <c r="F30" s="36" t="s">
        <v>69</v>
      </c>
      <c r="G30" s="36" t="s">
        <v>62</v>
      </c>
    </row>
    <row r="31" spans="1:7" ht="16.5" thickBot="1">
      <c r="A31" s="53" t="s">
        <v>117</v>
      </c>
      <c r="B31" s="107">
        <f>B7</f>
        <v>12</v>
      </c>
      <c r="C31" s="5" t="s">
        <v>7</v>
      </c>
      <c r="F31" s="139" t="s">
        <v>63</v>
      </c>
      <c r="G31" s="36">
        <v>6</v>
      </c>
    </row>
    <row r="32" spans="1:7" ht="16.5" thickBot="1">
      <c r="A32" s="53" t="s">
        <v>110</v>
      </c>
      <c r="B32" s="107">
        <f>B7</f>
        <v>12</v>
      </c>
      <c r="C32" s="5" t="s">
        <v>7</v>
      </c>
      <c r="F32" s="36" t="s">
        <v>64</v>
      </c>
      <c r="G32" s="36">
        <v>8</v>
      </c>
    </row>
    <row r="33" spans="6:7" ht="13.5" thickBot="1">
      <c r="F33" s="36" t="s">
        <v>65</v>
      </c>
      <c r="G33" s="36">
        <v>10</v>
      </c>
    </row>
    <row r="34" spans="1:7" ht="16.5" thickBot="1">
      <c r="A34" s="53" t="s">
        <v>111</v>
      </c>
      <c r="B34" s="107" t="s">
        <v>70</v>
      </c>
      <c r="C34" s="5" t="s">
        <v>7</v>
      </c>
      <c r="F34" s="36" t="s">
        <v>66</v>
      </c>
      <c r="G34" s="36">
        <v>15</v>
      </c>
    </row>
    <row r="35" spans="1:7" ht="16.5" thickBot="1">
      <c r="A35" s="53" t="s">
        <v>112</v>
      </c>
      <c r="B35" s="107" t="s">
        <v>70</v>
      </c>
      <c r="C35" s="5" t="s">
        <v>7</v>
      </c>
      <c r="F35" s="36" t="s">
        <v>67</v>
      </c>
      <c r="G35" s="36">
        <v>20</v>
      </c>
    </row>
    <row r="36" spans="1:7" ht="16.5" thickBot="1">
      <c r="A36" s="53" t="s">
        <v>113</v>
      </c>
      <c r="B36" s="107" t="s">
        <v>70</v>
      </c>
      <c r="C36" s="5" t="s">
        <v>7</v>
      </c>
      <c r="F36" s="36" t="s">
        <v>68</v>
      </c>
      <c r="G36" s="36">
        <v>25</v>
      </c>
    </row>
    <row r="37" ht="13.5" thickBot="1"/>
    <row r="38" spans="1:3" ht="16.5" thickBot="1">
      <c r="A38" s="53" t="s">
        <v>114</v>
      </c>
      <c r="B38" s="107">
        <f>B7+20</f>
        <v>32</v>
      </c>
      <c r="C38" s="5" t="s">
        <v>7</v>
      </c>
    </row>
    <row r="39" ht="13.5" thickBot="1"/>
    <row r="40" spans="1:3" ht="16.5" thickBot="1">
      <c r="A40" s="53" t="s">
        <v>115</v>
      </c>
      <c r="B40" s="107">
        <f>B38</f>
        <v>32</v>
      </c>
      <c r="C40" s="5" t="s">
        <v>7</v>
      </c>
    </row>
    <row r="41" ht="13.5" thickBot="1"/>
    <row r="42" spans="1:3" ht="16.5" thickBot="1">
      <c r="A42" s="55" t="s">
        <v>118</v>
      </c>
      <c r="B42" s="107">
        <f>B7+26</f>
        <v>38</v>
      </c>
      <c r="C42" s="5" t="s">
        <v>7</v>
      </c>
    </row>
    <row r="46" ht="12.75">
      <c r="A46" s="14" t="s">
        <v>31</v>
      </c>
    </row>
    <row r="47" ht="15.75">
      <c r="A47" s="15" t="s">
        <v>44</v>
      </c>
    </row>
    <row r="48" ht="12.75">
      <c r="A48" s="16" t="s">
        <v>45</v>
      </c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B19" sqref="B19"/>
    </sheetView>
  </sheetViews>
  <sheetFormatPr defaultColWidth="9.140625" defaultRowHeight="12.75"/>
  <cols>
    <col min="1" max="1" width="75.28125" style="7" bestFit="1" customWidth="1"/>
    <col min="2" max="2" width="12.00390625" style="7" bestFit="1" customWidth="1"/>
    <col min="3" max="3" width="13.8515625" style="7" bestFit="1" customWidth="1"/>
    <col min="4" max="4" width="9.140625" style="7" customWidth="1"/>
    <col min="5" max="5" width="34.00390625" style="7" bestFit="1" customWidth="1"/>
    <col min="6" max="16384" width="9.140625" style="7" customWidth="1"/>
  </cols>
  <sheetData>
    <row r="1" spans="1:5" ht="25.5">
      <c r="A1" s="60" t="s">
        <v>202</v>
      </c>
      <c r="B1" s="10"/>
      <c r="C1" s="10"/>
      <c r="E1" s="154" t="s">
        <v>200</v>
      </c>
    </row>
    <row r="2" spans="1:5" ht="25.5">
      <c r="A2" s="61"/>
      <c r="B2" s="10"/>
      <c r="C2" s="10"/>
      <c r="E2" s="154" t="s">
        <v>201</v>
      </c>
    </row>
    <row r="3" spans="1:5" ht="25.5">
      <c r="A3" s="61" t="s">
        <v>74</v>
      </c>
      <c r="B3" s="10"/>
      <c r="C3" s="10"/>
      <c r="E3" s="155" t="s">
        <v>21</v>
      </c>
    </row>
    <row r="4" spans="1:5" ht="18">
      <c r="A4" s="61"/>
      <c r="B4" s="10"/>
      <c r="C4" s="10"/>
      <c r="E4" s="156" t="s">
        <v>219</v>
      </c>
    </row>
    <row r="5" spans="1:7" ht="12.75">
      <c r="A5" s="64" t="s">
        <v>73</v>
      </c>
      <c r="B5" s="62"/>
      <c r="C5" s="62"/>
      <c r="D5" s="62"/>
      <c r="E5" s="157" t="s">
        <v>17</v>
      </c>
      <c r="F5" s="62"/>
      <c r="G5" s="62"/>
    </row>
    <row r="6" spans="1:7" ht="12.75">
      <c r="A6" s="64" t="s">
        <v>106</v>
      </c>
      <c r="B6" s="62"/>
      <c r="C6" s="62"/>
      <c r="D6" s="62"/>
      <c r="E6" s="157" t="s">
        <v>18</v>
      </c>
      <c r="F6" s="62"/>
      <c r="G6" s="62"/>
    </row>
    <row r="7" spans="1:7" ht="12.75">
      <c r="A7" s="64" t="s">
        <v>107</v>
      </c>
      <c r="B7" s="62"/>
      <c r="C7" s="62"/>
      <c r="D7" s="62"/>
      <c r="E7" s="157" t="s">
        <v>19</v>
      </c>
      <c r="F7" s="62"/>
      <c r="G7" s="62"/>
    </row>
    <row r="8" spans="1:7" ht="12.75">
      <c r="A8" s="64" t="s">
        <v>108</v>
      </c>
      <c r="B8" s="62"/>
      <c r="C8" s="62"/>
      <c r="D8" s="62"/>
      <c r="E8" s="62"/>
      <c r="F8" s="62"/>
      <c r="G8" s="62"/>
    </row>
    <row r="9" spans="1:7" ht="12.75">
      <c r="A9" s="64" t="s">
        <v>109</v>
      </c>
      <c r="B9" s="62"/>
      <c r="C9" s="62"/>
      <c r="D9" s="62"/>
      <c r="E9" s="62"/>
      <c r="F9" s="62"/>
      <c r="G9" s="62"/>
    </row>
    <row r="10" spans="1:3" ht="13.5" thickBot="1">
      <c r="A10" s="93"/>
      <c r="B10" s="10"/>
      <c r="C10" s="10"/>
    </row>
    <row r="11" spans="1:4" ht="16.5" thickBot="1">
      <c r="A11" s="95" t="s">
        <v>0</v>
      </c>
      <c r="B11" s="86"/>
      <c r="C11" s="65"/>
      <c r="D11" s="66"/>
    </row>
    <row r="12" spans="1:4" ht="13.5" thickBot="1">
      <c r="A12" s="94"/>
      <c r="B12" s="74"/>
      <c r="C12" s="65"/>
      <c r="D12" s="66"/>
    </row>
    <row r="13" spans="1:4" ht="16.5" thickBot="1">
      <c r="A13" s="59" t="s">
        <v>75</v>
      </c>
      <c r="B13" s="75">
        <v>99</v>
      </c>
      <c r="C13" s="73" t="s">
        <v>76</v>
      </c>
      <c r="D13" s="66"/>
    </row>
    <row r="14" spans="1:4" ht="16.5" thickBot="1">
      <c r="A14" s="59" t="s">
        <v>80</v>
      </c>
      <c r="B14" s="75">
        <v>1</v>
      </c>
      <c r="C14" s="73" t="s">
        <v>77</v>
      </c>
      <c r="D14" s="66"/>
    </row>
    <row r="15" spans="1:4" ht="16.5" thickBot="1">
      <c r="A15" s="59" t="s">
        <v>78</v>
      </c>
      <c r="B15" s="75">
        <v>1.26</v>
      </c>
      <c r="C15" s="73" t="s">
        <v>79</v>
      </c>
      <c r="D15" s="66"/>
    </row>
    <row r="16" spans="1:4" ht="16.5" thickBot="1">
      <c r="A16" s="96"/>
      <c r="B16" s="76"/>
      <c r="C16" s="67"/>
      <c r="D16" s="66"/>
    </row>
    <row r="17" spans="1:4" ht="16.5" thickBot="1">
      <c r="A17" s="97" t="s">
        <v>11</v>
      </c>
      <c r="B17" s="22"/>
      <c r="C17" s="22"/>
      <c r="D17" s="66"/>
    </row>
    <row r="18" spans="1:4" ht="13.5" thickBot="1">
      <c r="A18" s="27"/>
      <c r="B18" s="22"/>
      <c r="C18" s="22"/>
      <c r="D18" s="66"/>
    </row>
    <row r="19" spans="1:4" ht="13.5" thickBot="1">
      <c r="A19" s="41" t="s">
        <v>119</v>
      </c>
      <c r="B19" s="78">
        <f>B13*((2*B15/1000)*B14)^0.003183</f>
        <v>97.1323402542175</v>
      </c>
      <c r="C19" s="29" t="s">
        <v>76</v>
      </c>
      <c r="D19" s="66"/>
    </row>
    <row r="20" spans="1:4" ht="15.75">
      <c r="A20" s="71"/>
      <c r="B20" s="77"/>
      <c r="C20" s="29"/>
      <c r="D20" s="66"/>
    </row>
    <row r="21" spans="1:4" ht="15.75">
      <c r="A21" s="69"/>
      <c r="B21" s="68"/>
      <c r="C21" s="67"/>
      <c r="D21" s="66"/>
    </row>
    <row r="22" spans="1:4" ht="15.75">
      <c r="A22" s="43"/>
      <c r="B22" s="68"/>
      <c r="C22" s="67"/>
      <c r="D22" s="66"/>
    </row>
    <row r="23" spans="1:4" ht="15.75">
      <c r="A23" s="43"/>
      <c r="B23" s="68"/>
      <c r="C23" s="67"/>
      <c r="D23" s="66"/>
    </row>
    <row r="24" spans="1:4" ht="15.75">
      <c r="A24" s="43"/>
      <c r="B24" s="68"/>
      <c r="C24" s="67"/>
      <c r="D24" s="66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8" t="s">
        <v>31</v>
      </c>
      <c r="B29" s="10"/>
      <c r="C29" s="10"/>
    </row>
    <row r="30" spans="1:3" ht="15.75">
      <c r="A30" s="63" t="s">
        <v>44</v>
      </c>
      <c r="B30" s="10"/>
      <c r="C30" s="10"/>
    </row>
    <row r="31" spans="1:3" ht="12.75">
      <c r="A31" s="7" t="s">
        <v>45</v>
      </c>
      <c r="B31" s="10"/>
      <c r="C31" s="10"/>
    </row>
    <row r="32" spans="1:3" ht="12.75">
      <c r="A32" s="10"/>
      <c r="B32" s="10"/>
      <c r="C32" s="10"/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5" sqref="B5:B10"/>
    </sheetView>
  </sheetViews>
  <sheetFormatPr defaultColWidth="9.140625" defaultRowHeight="12.75"/>
  <cols>
    <col min="1" max="1" width="59.421875" style="7" bestFit="1" customWidth="1"/>
    <col min="2" max="2" width="15.57421875" style="10" bestFit="1" customWidth="1"/>
    <col min="3" max="3" width="15.421875" style="10" bestFit="1" customWidth="1"/>
    <col min="4" max="4" width="6.57421875" style="7" customWidth="1"/>
    <col min="5" max="5" width="9.140625" style="7" customWidth="1"/>
    <col min="6" max="6" width="37.8515625" style="7" bestFit="1" customWidth="1"/>
    <col min="7" max="16384" width="9.140625" style="7" customWidth="1"/>
  </cols>
  <sheetData>
    <row r="1" spans="1:15" ht="25.5">
      <c r="A1" s="60" t="s">
        <v>203</v>
      </c>
      <c r="B1" s="65"/>
      <c r="C1" s="65"/>
      <c r="D1" s="66"/>
      <c r="E1" s="66"/>
      <c r="F1" s="164" t="s">
        <v>204</v>
      </c>
      <c r="G1" s="66"/>
      <c r="H1" s="66"/>
      <c r="I1" s="66"/>
      <c r="J1" s="66"/>
      <c r="K1" s="66"/>
      <c r="L1" s="66"/>
      <c r="M1" s="66"/>
      <c r="N1" s="66"/>
      <c r="O1" s="66"/>
    </row>
    <row r="2" spans="1:15" ht="26.25" thickBot="1">
      <c r="A2" s="141"/>
      <c r="B2" s="86"/>
      <c r="C2" s="65"/>
      <c r="D2" s="66"/>
      <c r="E2" s="66"/>
      <c r="F2" s="164" t="s">
        <v>21</v>
      </c>
      <c r="G2" s="66"/>
      <c r="H2" s="66"/>
      <c r="I2" s="66"/>
      <c r="J2" s="66"/>
      <c r="K2" s="66"/>
      <c r="L2" s="66"/>
      <c r="M2" s="66"/>
      <c r="N2" s="66"/>
      <c r="O2" s="66"/>
    </row>
    <row r="3" spans="1:15" ht="21" customHeight="1" thickBot="1">
      <c r="A3" s="95" t="s">
        <v>0</v>
      </c>
      <c r="B3" s="86"/>
      <c r="C3" s="65"/>
      <c r="D3" s="66"/>
      <c r="E3" s="66"/>
      <c r="F3" s="165" t="s">
        <v>219</v>
      </c>
      <c r="G3" s="66"/>
      <c r="H3" s="66"/>
      <c r="I3" s="66"/>
      <c r="J3" s="66"/>
      <c r="K3" s="66"/>
      <c r="L3" s="66"/>
      <c r="M3" s="66"/>
      <c r="N3" s="66"/>
      <c r="O3" s="66"/>
    </row>
    <row r="4" spans="1:15" ht="13.5" thickBot="1">
      <c r="A4" s="35"/>
      <c r="B4" s="65"/>
      <c r="C4" s="65"/>
      <c r="D4" s="66"/>
      <c r="E4" s="66"/>
      <c r="F4" s="165" t="s">
        <v>17</v>
      </c>
      <c r="G4" s="66"/>
      <c r="H4" s="66"/>
      <c r="I4" s="66"/>
      <c r="J4" s="66"/>
      <c r="K4" s="66"/>
      <c r="L4" s="66"/>
      <c r="M4" s="66"/>
      <c r="N4" s="66"/>
      <c r="O4" s="66"/>
    </row>
    <row r="5" spans="1:15" ht="13.5" thickBot="1">
      <c r="A5" s="140" t="s">
        <v>82</v>
      </c>
      <c r="B5" s="136">
        <v>1</v>
      </c>
      <c r="C5" s="12" t="s">
        <v>81</v>
      </c>
      <c r="E5" s="66"/>
      <c r="F5" s="165" t="s">
        <v>18</v>
      </c>
      <c r="G5" s="66"/>
      <c r="H5" s="66"/>
      <c r="I5" s="66"/>
      <c r="J5" s="66"/>
      <c r="K5" s="66"/>
      <c r="L5" s="66"/>
      <c r="M5" s="66"/>
      <c r="N5" s="66"/>
      <c r="O5" s="66"/>
    </row>
    <row r="6" spans="1:15" ht="13.5" thickBot="1">
      <c r="A6" s="140" t="s">
        <v>83</v>
      </c>
      <c r="B6" s="136">
        <v>125</v>
      </c>
      <c r="C6" s="12" t="s">
        <v>15</v>
      </c>
      <c r="E6" s="66"/>
      <c r="F6" s="165" t="s">
        <v>19</v>
      </c>
      <c r="G6" s="66"/>
      <c r="H6" s="66"/>
      <c r="I6" s="66"/>
      <c r="J6" s="66"/>
      <c r="K6" s="66"/>
      <c r="L6" s="66"/>
      <c r="M6" s="66"/>
      <c r="N6" s="66"/>
      <c r="O6" s="66"/>
    </row>
    <row r="7" spans="1:15" ht="13.5" thickBot="1">
      <c r="A7" s="140" t="s">
        <v>84</v>
      </c>
      <c r="B7" s="136">
        <v>25</v>
      </c>
      <c r="C7" s="12" t="s">
        <v>15</v>
      </c>
      <c r="E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3.5" thickBot="1">
      <c r="A8" s="140" t="s">
        <v>212</v>
      </c>
      <c r="B8" s="136">
        <v>10</v>
      </c>
      <c r="C8" s="12" t="s">
        <v>89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3.5" thickBot="1">
      <c r="A9" s="140" t="s">
        <v>87</v>
      </c>
      <c r="B9" s="136">
        <v>0</v>
      </c>
      <c r="C9" s="12" t="s">
        <v>89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3.5" thickBot="1">
      <c r="A10" s="140" t="s">
        <v>88</v>
      </c>
      <c r="B10" s="136">
        <v>1000</v>
      </c>
      <c r="C10" s="12" t="s">
        <v>90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3.5" thickBot="1">
      <c r="A11" s="91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24" thickBot="1">
      <c r="A12" s="92" t="s">
        <v>11</v>
      </c>
      <c r="B12" s="90">
        <f>IF((B6&gt;200),"Maximum Via Diameter Can't be Greater That 200 Mils","")</f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3.5" thickBot="1">
      <c r="A13" s="46"/>
      <c r="B13" s="45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6.5" thickBot="1">
      <c r="A14" s="55" t="s">
        <v>85</v>
      </c>
      <c r="B14" s="87">
        <f>B5*B10/(B6-B7-B5*(B8+B9))</f>
        <v>11.11111111111111</v>
      </c>
      <c r="C14" s="5" t="s">
        <v>86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6.5" thickBot="1">
      <c r="A15" s="16"/>
      <c r="B15" s="87">
        <f>B14*0.15500031</f>
        <v>1.7222256666666667</v>
      </c>
      <c r="C15" s="5" t="s">
        <v>91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>
      <c r="A16" s="8"/>
      <c r="B16" s="87">
        <f>B15*1000000</f>
        <v>1722225.6666666667</v>
      </c>
      <c r="C16" s="5" t="s">
        <v>92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2.75">
      <c r="A17" s="28"/>
      <c r="B17" s="80"/>
      <c r="C17" s="84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>
      <c r="A18" s="70"/>
      <c r="B18" s="31"/>
      <c r="C18" s="84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>
      <c r="A19" s="81"/>
      <c r="B19" s="32"/>
      <c r="C19" s="85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2.75">
      <c r="A20" s="66"/>
      <c r="B20" s="65"/>
      <c r="C20" s="8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12.75">
      <c r="A21" s="66"/>
      <c r="B21" s="65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2.75">
      <c r="A22" s="66"/>
      <c r="B22" s="65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2.75">
      <c r="A23" s="66"/>
      <c r="B23" s="65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2.75">
      <c r="A24" s="66"/>
      <c r="B24" s="65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12.75">
      <c r="A25" s="82" t="s">
        <v>31</v>
      </c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83" t="s">
        <v>44</v>
      </c>
      <c r="B26" s="65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2.75">
      <c r="A27" s="66" t="s">
        <v>45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2.75">
      <c r="A28" s="66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2.75">
      <c r="A29" s="66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2.75">
      <c r="A30" s="66"/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2.75">
      <c r="A31" s="66"/>
      <c r="B31" s="65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B1">
      <selection activeCell="H3" sqref="H3"/>
    </sheetView>
  </sheetViews>
  <sheetFormatPr defaultColWidth="9.140625" defaultRowHeight="12.75"/>
  <cols>
    <col min="1" max="1" width="9.140625" style="99" customWidth="1"/>
    <col min="2" max="2" width="43.421875" style="1" bestFit="1" customWidth="1"/>
    <col min="3" max="3" width="17.57421875" style="0" customWidth="1"/>
    <col min="4" max="4" width="12.8515625" style="0" customWidth="1"/>
    <col min="5" max="5" width="14.57421875" style="0" customWidth="1"/>
    <col min="6" max="6" width="12.421875" style="0" hidden="1" customWidth="1"/>
    <col min="7" max="7" width="27.57421875" style="0" customWidth="1"/>
    <col min="8" max="8" width="37.8515625" style="0" bestFit="1" customWidth="1"/>
    <col min="9" max="9" width="13.8515625" style="0" customWidth="1"/>
    <col min="10" max="10" width="14.8515625" style="0" customWidth="1"/>
    <col min="11" max="11" width="12.7109375" style="0" customWidth="1"/>
    <col min="12" max="12" width="12.57421875" style="0" customWidth="1"/>
  </cols>
  <sheetData>
    <row r="1" spans="2:12" ht="25.5">
      <c r="B1" s="99"/>
      <c r="C1" s="100" t="s">
        <v>120</v>
      </c>
      <c r="D1" s="4"/>
      <c r="E1" s="100" t="s">
        <v>121</v>
      </c>
      <c r="F1" s="4"/>
      <c r="G1" s="4"/>
      <c r="H1" s="164" t="s">
        <v>120</v>
      </c>
      <c r="I1" s="4"/>
      <c r="J1" s="4"/>
      <c r="K1" s="4"/>
      <c r="L1" s="4"/>
    </row>
    <row r="2" spans="2:12" ht="25.5">
      <c r="B2" s="99" t="s">
        <v>122</v>
      </c>
      <c r="C2" s="4" t="s">
        <v>123</v>
      </c>
      <c r="D2" s="4"/>
      <c r="E2" s="4" t="s">
        <v>124</v>
      </c>
      <c r="F2" s="4"/>
      <c r="G2" s="4"/>
      <c r="H2" s="164" t="s">
        <v>205</v>
      </c>
      <c r="I2" s="4"/>
      <c r="J2" s="4"/>
      <c r="K2" s="4"/>
      <c r="L2" s="4"/>
    </row>
    <row r="3" spans="2:12" ht="12.75">
      <c r="B3" s="99" t="s">
        <v>125</v>
      </c>
      <c r="C3" s="4" t="s">
        <v>126</v>
      </c>
      <c r="D3" s="4"/>
      <c r="E3" s="4"/>
      <c r="F3" s="4"/>
      <c r="G3" s="4"/>
      <c r="H3" s="165" t="s">
        <v>220</v>
      </c>
      <c r="I3" s="4"/>
      <c r="J3" s="4"/>
      <c r="K3" s="4"/>
      <c r="L3" s="4"/>
    </row>
    <row r="4" spans="2:12" ht="12.75">
      <c r="B4" s="99"/>
      <c r="C4" s="4"/>
      <c r="D4" s="4"/>
      <c r="E4" s="4"/>
      <c r="F4" s="4"/>
      <c r="G4" s="4"/>
      <c r="H4" s="165" t="s">
        <v>17</v>
      </c>
      <c r="I4" s="4"/>
      <c r="J4" s="4"/>
      <c r="K4" s="4"/>
      <c r="L4" s="4"/>
    </row>
    <row r="5" spans="2:12" ht="12.75">
      <c r="B5" s="99"/>
      <c r="C5" s="4"/>
      <c r="D5" s="4"/>
      <c r="E5" s="4"/>
      <c r="F5" s="4"/>
      <c r="G5" s="4"/>
      <c r="H5" s="165" t="s">
        <v>18</v>
      </c>
      <c r="I5" s="4"/>
      <c r="J5" s="4"/>
      <c r="K5" s="4"/>
      <c r="L5" s="4"/>
    </row>
    <row r="6" spans="2:12" ht="12.75">
      <c r="B6" s="99"/>
      <c r="C6" s="4"/>
      <c r="D6" s="4"/>
      <c r="E6" s="4"/>
      <c r="F6" s="4"/>
      <c r="G6" s="4"/>
      <c r="H6" s="165" t="s">
        <v>19</v>
      </c>
      <c r="I6" s="4"/>
      <c r="J6" s="4"/>
      <c r="K6" s="4"/>
      <c r="L6" s="4"/>
    </row>
    <row r="7" spans="2:12" ht="12.75">
      <c r="B7" s="99"/>
      <c r="C7" s="4"/>
      <c r="D7" s="4"/>
      <c r="E7" s="4"/>
      <c r="F7" s="4"/>
      <c r="G7" s="4"/>
      <c r="I7" s="4"/>
      <c r="J7" s="4"/>
      <c r="K7" s="4"/>
      <c r="L7" s="4"/>
    </row>
    <row r="8" spans="2:12" ht="12.75">
      <c r="B8" s="99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2.75">
      <c r="B9" s="99"/>
      <c r="C9" s="176" t="s">
        <v>127</v>
      </c>
      <c r="D9" s="176"/>
      <c r="E9" s="176"/>
      <c r="F9" s="176" t="s">
        <v>128</v>
      </c>
      <c r="G9" s="177"/>
      <c r="H9" s="177"/>
      <c r="I9" s="177"/>
      <c r="J9" s="176" t="s">
        <v>129</v>
      </c>
      <c r="K9" s="177"/>
      <c r="L9" s="177"/>
    </row>
    <row r="10" spans="2:12" ht="12.75">
      <c r="B10" s="99"/>
      <c r="C10" s="4"/>
      <c r="D10" s="4"/>
      <c r="E10" s="99"/>
      <c r="F10" s="99"/>
      <c r="G10" s="99"/>
      <c r="H10" s="99"/>
      <c r="I10" s="99"/>
      <c r="J10" s="99"/>
      <c r="K10" s="99"/>
      <c r="L10" s="99"/>
    </row>
    <row r="11" spans="1:12" ht="12.75">
      <c r="A11" s="99">
        <v>1</v>
      </c>
      <c r="B11" s="100" t="s">
        <v>130</v>
      </c>
      <c r="C11" s="99" t="s">
        <v>131</v>
      </c>
      <c r="D11" s="99" t="s">
        <v>132</v>
      </c>
      <c r="E11" s="4"/>
      <c r="F11" s="4"/>
      <c r="G11" s="99" t="s">
        <v>133</v>
      </c>
      <c r="H11" s="99" t="s">
        <v>134</v>
      </c>
      <c r="I11" s="4"/>
      <c r="J11" s="99" t="s">
        <v>131</v>
      </c>
      <c r="K11" s="99" t="s">
        <v>132</v>
      </c>
      <c r="L11" s="4"/>
    </row>
    <row r="12" spans="2:12" ht="12.75">
      <c r="B12" s="99" t="s">
        <v>135</v>
      </c>
      <c r="C12" s="4" t="s">
        <v>136</v>
      </c>
      <c r="D12" s="4" t="s">
        <v>136</v>
      </c>
      <c r="E12" s="4"/>
      <c r="F12" s="4"/>
      <c r="G12" s="4"/>
      <c r="H12" s="4"/>
      <c r="I12" s="4"/>
      <c r="J12" s="4" t="s">
        <v>136</v>
      </c>
      <c r="K12" s="4" t="s">
        <v>136</v>
      </c>
      <c r="L12" s="4"/>
    </row>
    <row r="13" spans="2:12" ht="12.75">
      <c r="B13" s="99" t="s">
        <v>137</v>
      </c>
      <c r="C13" s="4" t="s">
        <v>136</v>
      </c>
      <c r="D13" s="4" t="s">
        <v>138</v>
      </c>
      <c r="E13" s="4"/>
      <c r="F13" s="4"/>
      <c r="G13" s="4" t="s">
        <v>139</v>
      </c>
      <c r="H13" s="4" t="s">
        <v>140</v>
      </c>
      <c r="I13" s="4"/>
      <c r="J13" s="4" t="s">
        <v>138</v>
      </c>
      <c r="K13" s="4" t="s">
        <v>138</v>
      </c>
      <c r="L13" s="4"/>
    </row>
    <row r="14" spans="2:12" ht="12.75">
      <c r="B14" s="99" t="s">
        <v>141</v>
      </c>
      <c r="C14" s="4" t="s">
        <v>142</v>
      </c>
      <c r="D14" s="4" t="s">
        <v>142</v>
      </c>
      <c r="E14" s="4"/>
      <c r="F14" s="4"/>
      <c r="G14" s="4" t="s">
        <v>143</v>
      </c>
      <c r="H14" s="4" t="s">
        <v>139</v>
      </c>
      <c r="I14" s="4"/>
      <c r="J14" s="4" t="s">
        <v>144</v>
      </c>
      <c r="K14" s="4" t="s">
        <v>144</v>
      </c>
      <c r="L14" s="4"/>
    </row>
    <row r="15" spans="2:12" ht="12.75">
      <c r="B15" s="99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99">
        <v>2</v>
      </c>
      <c r="B16" s="100" t="s">
        <v>145</v>
      </c>
      <c r="C16" s="4" t="s">
        <v>136</v>
      </c>
      <c r="D16" s="4" t="s">
        <v>136</v>
      </c>
      <c r="E16" s="4"/>
      <c r="F16" s="4"/>
      <c r="G16" s="4"/>
      <c r="I16" s="4"/>
      <c r="J16" s="4" t="s">
        <v>136</v>
      </c>
      <c r="K16" s="4" t="s">
        <v>136</v>
      </c>
      <c r="L16" s="4"/>
    </row>
    <row r="17" spans="2:12" ht="12.75">
      <c r="B17" s="99"/>
      <c r="C17" s="4" t="s">
        <v>136</v>
      </c>
      <c r="D17" s="4" t="s">
        <v>138</v>
      </c>
      <c r="E17" s="4"/>
      <c r="F17" s="4"/>
      <c r="G17" s="4" t="s">
        <v>139</v>
      </c>
      <c r="H17" s="4" t="s">
        <v>140</v>
      </c>
      <c r="I17" s="4"/>
      <c r="J17" s="4" t="s">
        <v>138</v>
      </c>
      <c r="K17" s="4" t="s">
        <v>138</v>
      </c>
      <c r="L17" s="4"/>
    </row>
    <row r="18" spans="2:12" ht="12.75">
      <c r="B18" s="99"/>
      <c r="C18" s="4" t="s">
        <v>142</v>
      </c>
      <c r="D18" s="4" t="s">
        <v>142</v>
      </c>
      <c r="E18" s="4"/>
      <c r="F18" s="4"/>
      <c r="G18" s="4" t="s">
        <v>143</v>
      </c>
      <c r="H18" s="4" t="s">
        <v>139</v>
      </c>
      <c r="I18" s="4"/>
      <c r="J18" s="4" t="s">
        <v>144</v>
      </c>
      <c r="K18" s="4" t="s">
        <v>144</v>
      </c>
      <c r="L18" s="4"/>
    </row>
    <row r="19" spans="2:12" ht="12.75">
      <c r="B19" s="99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2.75">
      <c r="B20" s="99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99">
        <v>3</v>
      </c>
      <c r="B21" s="100" t="s">
        <v>146</v>
      </c>
      <c r="E21" s="4"/>
      <c r="F21" s="4"/>
      <c r="G21" s="4"/>
      <c r="H21" s="4"/>
      <c r="I21" s="4"/>
      <c r="J21" s="4"/>
      <c r="K21" s="4"/>
      <c r="L21" s="4"/>
    </row>
    <row r="22" spans="2:12" ht="12.75">
      <c r="B22" s="99" t="s">
        <v>135</v>
      </c>
      <c r="C22" s="4" t="s">
        <v>136</v>
      </c>
      <c r="D22" s="4" t="s">
        <v>136</v>
      </c>
      <c r="E22" s="4"/>
      <c r="F22" s="4"/>
      <c r="G22" s="4"/>
      <c r="H22" s="4"/>
      <c r="I22" s="4"/>
      <c r="J22" s="4" t="s">
        <v>136</v>
      </c>
      <c r="K22" s="4" t="s">
        <v>136</v>
      </c>
      <c r="L22" s="4"/>
    </row>
    <row r="23" spans="2:12" ht="12.75">
      <c r="B23" s="99" t="s">
        <v>137</v>
      </c>
      <c r="C23" s="4" t="s">
        <v>136</v>
      </c>
      <c r="D23" s="4" t="s">
        <v>138</v>
      </c>
      <c r="E23" s="4"/>
      <c r="F23" s="4"/>
      <c r="G23" s="4" t="s">
        <v>140</v>
      </c>
      <c r="H23" s="99" t="s">
        <v>147</v>
      </c>
      <c r="I23" s="4"/>
      <c r="J23" s="4" t="s">
        <v>138</v>
      </c>
      <c r="K23" s="4" t="s">
        <v>138</v>
      </c>
      <c r="L23" s="4"/>
    </row>
    <row r="24" spans="2:12" ht="12.75">
      <c r="B24" s="99" t="s">
        <v>141</v>
      </c>
      <c r="C24" s="4" t="s">
        <v>144</v>
      </c>
      <c r="D24" s="4" t="s">
        <v>144</v>
      </c>
      <c r="E24" s="4"/>
      <c r="F24" s="4"/>
      <c r="G24" s="4" t="s">
        <v>139</v>
      </c>
      <c r="H24" s="99" t="s">
        <v>147</v>
      </c>
      <c r="I24" s="4"/>
      <c r="J24" s="4" t="s">
        <v>148</v>
      </c>
      <c r="K24" s="4" t="s">
        <v>149</v>
      </c>
      <c r="L24" s="4"/>
    </row>
    <row r="25" spans="2:12" ht="12.75">
      <c r="B25" s="99"/>
      <c r="C25" s="4"/>
      <c r="D25" s="4"/>
      <c r="E25" s="4"/>
      <c r="F25" s="4"/>
      <c r="G25" s="4"/>
      <c r="H25" s="99"/>
      <c r="I25" s="4"/>
      <c r="J25" s="4"/>
      <c r="K25" s="4"/>
      <c r="L25" s="4"/>
    </row>
    <row r="26" spans="1:12" ht="12.75">
      <c r="A26" s="99">
        <v>4</v>
      </c>
      <c r="B26" s="100" t="s">
        <v>150</v>
      </c>
      <c r="E26" s="4"/>
      <c r="F26" s="4"/>
      <c r="G26" s="4"/>
      <c r="H26" s="99"/>
      <c r="I26" s="4"/>
      <c r="J26" s="4"/>
      <c r="K26" s="4"/>
      <c r="L26" s="4"/>
    </row>
    <row r="27" spans="2:12" ht="12.75">
      <c r="B27" s="99" t="s">
        <v>135</v>
      </c>
      <c r="C27" s="4" t="s">
        <v>136</v>
      </c>
      <c r="D27" s="4" t="s">
        <v>136</v>
      </c>
      <c r="E27" s="4"/>
      <c r="F27" s="4"/>
      <c r="G27" s="4"/>
      <c r="H27" s="99"/>
      <c r="I27" s="4"/>
      <c r="J27" s="4" t="s">
        <v>136</v>
      </c>
      <c r="K27" s="4" t="s">
        <v>136</v>
      </c>
      <c r="L27" s="4"/>
    </row>
    <row r="28" spans="2:12" ht="12.75">
      <c r="B28" s="99" t="s">
        <v>137</v>
      </c>
      <c r="C28" s="4" t="s">
        <v>136</v>
      </c>
      <c r="D28" s="4" t="s">
        <v>138</v>
      </c>
      <c r="E28" s="4"/>
      <c r="F28" s="4"/>
      <c r="G28" s="4" t="s">
        <v>140</v>
      </c>
      <c r="H28" s="99" t="s">
        <v>147</v>
      </c>
      <c r="I28" s="4"/>
      <c r="J28" s="4" t="s">
        <v>138</v>
      </c>
      <c r="K28" s="4" t="s">
        <v>138</v>
      </c>
      <c r="L28" s="4"/>
    </row>
    <row r="29" spans="2:12" ht="12.75">
      <c r="B29" s="99" t="s">
        <v>141</v>
      </c>
      <c r="C29" s="4" t="s">
        <v>142</v>
      </c>
      <c r="D29" s="4" t="s">
        <v>142</v>
      </c>
      <c r="E29" s="4"/>
      <c r="F29" s="4"/>
      <c r="G29" s="4" t="s">
        <v>139</v>
      </c>
      <c r="H29" s="99" t="s">
        <v>147</v>
      </c>
      <c r="I29" s="4"/>
      <c r="J29" s="4" t="s">
        <v>144</v>
      </c>
      <c r="K29" s="4" t="s">
        <v>144</v>
      </c>
      <c r="L29" s="4"/>
    </row>
    <row r="30" spans="2:12" ht="12.75">
      <c r="B30" s="99"/>
      <c r="C30" s="4"/>
      <c r="D30" s="4"/>
      <c r="E30" s="4"/>
      <c r="F30" s="4"/>
      <c r="G30" s="4"/>
      <c r="H30" s="99"/>
      <c r="I30" s="4"/>
      <c r="J30" s="4"/>
      <c r="K30" s="4"/>
      <c r="L30" s="4"/>
    </row>
    <row r="31" spans="1:12" ht="12.75">
      <c r="A31" s="99">
        <v>5</v>
      </c>
      <c r="B31" s="100" t="s">
        <v>151</v>
      </c>
      <c r="C31" s="4"/>
      <c r="D31" s="4"/>
      <c r="E31" s="4"/>
      <c r="F31" s="4"/>
      <c r="G31" s="4"/>
      <c r="H31" s="99"/>
      <c r="I31" s="4"/>
      <c r="J31" s="4"/>
      <c r="K31" s="4"/>
      <c r="L31" s="4"/>
    </row>
    <row r="32" spans="2:12" ht="12.75">
      <c r="B32" s="99" t="s">
        <v>135</v>
      </c>
      <c r="C32" s="101" t="s">
        <v>152</v>
      </c>
      <c r="D32" s="101"/>
      <c r="E32" s="4"/>
      <c r="F32" s="4"/>
      <c r="G32" s="4"/>
      <c r="H32" s="99"/>
      <c r="I32" s="4"/>
      <c r="J32" s="4">
        <v>0.2</v>
      </c>
      <c r="K32" s="4"/>
      <c r="L32" s="4"/>
    </row>
    <row r="33" spans="2:12" ht="12.75">
      <c r="B33" s="99" t="s">
        <v>137</v>
      </c>
      <c r="C33" s="101" t="s">
        <v>152</v>
      </c>
      <c r="D33" s="101"/>
      <c r="E33" s="4"/>
      <c r="F33" s="4"/>
      <c r="G33" s="4" t="s">
        <v>140</v>
      </c>
      <c r="H33" s="99" t="s">
        <v>147</v>
      </c>
      <c r="I33" s="4"/>
      <c r="J33" s="4">
        <v>0.2</v>
      </c>
      <c r="K33" s="4"/>
      <c r="L33" s="4"/>
    </row>
    <row r="34" spans="2:12" ht="12.75">
      <c r="B34" s="99" t="s">
        <v>141</v>
      </c>
      <c r="C34" s="101" t="s">
        <v>140</v>
      </c>
      <c r="D34" s="101"/>
      <c r="E34" s="4"/>
      <c r="F34" s="4"/>
      <c r="G34" s="4" t="s">
        <v>139</v>
      </c>
      <c r="H34" s="99" t="s">
        <v>147</v>
      </c>
      <c r="I34" s="4"/>
      <c r="J34" s="4">
        <v>0.4</v>
      </c>
      <c r="K34" s="4"/>
      <c r="L34" s="4"/>
    </row>
    <row r="35" spans="2:12" ht="12.75">
      <c r="B35" s="99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99">
        <v>6</v>
      </c>
      <c r="B36" s="100" t="s">
        <v>153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2.75">
      <c r="B37" s="99"/>
      <c r="C37" s="4" t="s">
        <v>154</v>
      </c>
      <c r="D37" s="4"/>
      <c r="E37" s="4"/>
      <c r="F37" s="4"/>
      <c r="G37" s="4"/>
      <c r="H37" s="4"/>
      <c r="I37" s="4"/>
      <c r="J37" s="4" t="s">
        <v>155</v>
      </c>
      <c r="K37" s="4"/>
      <c r="L37" s="4"/>
    </row>
    <row r="38" spans="2:12" ht="12.75">
      <c r="B38" s="99" t="s">
        <v>137</v>
      </c>
      <c r="C38" s="4"/>
      <c r="D38" s="4"/>
      <c r="E38" s="4"/>
      <c r="F38" s="4"/>
      <c r="G38" s="4" t="s">
        <v>124</v>
      </c>
      <c r="H38" s="4"/>
      <c r="I38" s="4"/>
      <c r="J38" s="4"/>
      <c r="K38" s="4"/>
      <c r="L38" s="4"/>
    </row>
    <row r="39" spans="2:12" ht="12.75">
      <c r="B39" s="99" t="s">
        <v>141</v>
      </c>
      <c r="C39" s="4"/>
      <c r="D39" s="4"/>
      <c r="E39" s="4"/>
      <c r="F39" s="4"/>
      <c r="G39" s="4" t="s">
        <v>156</v>
      </c>
      <c r="H39" s="4"/>
      <c r="I39" s="4"/>
      <c r="J39" s="4"/>
      <c r="K39" s="4"/>
      <c r="L39" s="4"/>
    </row>
    <row r="40" spans="2:12" ht="12.75">
      <c r="B40" s="99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99">
        <v>7</v>
      </c>
      <c r="B41" s="100" t="s">
        <v>157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99"/>
      <c r="C42" s="4" t="s">
        <v>158</v>
      </c>
      <c r="D42" s="4"/>
      <c r="E42" s="4"/>
      <c r="F42" s="4"/>
      <c r="G42" s="4"/>
      <c r="H42" s="4"/>
      <c r="I42" s="4"/>
      <c r="J42" s="4" t="s">
        <v>155</v>
      </c>
      <c r="K42" s="4"/>
      <c r="L42" s="4"/>
    </row>
    <row r="43" spans="2:12" ht="12.75">
      <c r="B43" s="99" t="s">
        <v>137</v>
      </c>
      <c r="C43" s="4"/>
      <c r="D43" s="4"/>
      <c r="E43" s="4"/>
      <c r="F43" s="4"/>
      <c r="G43" s="4" t="s">
        <v>124</v>
      </c>
      <c r="H43" s="4"/>
      <c r="I43" s="4"/>
      <c r="J43" s="4"/>
      <c r="K43" s="4"/>
      <c r="L43" s="4"/>
    </row>
    <row r="44" spans="2:12" ht="12.75">
      <c r="B44" s="99" t="s">
        <v>141</v>
      </c>
      <c r="C44" s="4"/>
      <c r="D44" s="4"/>
      <c r="E44" s="4"/>
      <c r="F44" s="4"/>
      <c r="G44" s="4" t="s">
        <v>139</v>
      </c>
      <c r="H44" s="4"/>
      <c r="I44" s="4"/>
      <c r="J44" s="4"/>
      <c r="K44" s="4"/>
      <c r="L44" s="4"/>
    </row>
    <row r="45" spans="2:12" ht="12.75">
      <c r="B45" s="99"/>
      <c r="C45" s="101"/>
      <c r="D45" s="101"/>
      <c r="E45" s="101"/>
      <c r="F45" s="4"/>
      <c r="H45" s="4"/>
      <c r="I45" s="4"/>
      <c r="J45" s="4"/>
      <c r="K45" s="4"/>
      <c r="L45" s="4"/>
    </row>
    <row r="46" spans="1:12" ht="25.5">
      <c r="A46" s="99">
        <v>8</v>
      </c>
      <c r="B46" s="100" t="s">
        <v>159</v>
      </c>
      <c r="C46" s="179" t="s">
        <v>160</v>
      </c>
      <c r="D46" s="179"/>
      <c r="E46" s="102" t="s">
        <v>161</v>
      </c>
      <c r="F46" s="4"/>
      <c r="J46" s="179" t="s">
        <v>160</v>
      </c>
      <c r="K46" s="179"/>
      <c r="L46" s="102" t="s">
        <v>161</v>
      </c>
    </row>
    <row r="47" spans="2:12" ht="12.75">
      <c r="B47" s="99"/>
      <c r="C47" s="178" t="s">
        <v>162</v>
      </c>
      <c r="D47" s="178"/>
      <c r="E47" s="4" t="s">
        <v>154</v>
      </c>
      <c r="F47" s="4"/>
      <c r="J47" s="102"/>
      <c r="K47" s="102"/>
      <c r="L47" s="4" t="s">
        <v>163</v>
      </c>
    </row>
    <row r="48" spans="2:12" ht="12.75">
      <c r="B48" s="99"/>
      <c r="C48" s="102"/>
      <c r="D48" s="102"/>
      <c r="E48" s="102"/>
      <c r="F48" s="4"/>
      <c r="J48" s="102"/>
      <c r="K48" s="102"/>
      <c r="L48" s="102"/>
    </row>
    <row r="49" spans="1:11" ht="12.75">
      <c r="A49" s="99">
        <v>9</v>
      </c>
      <c r="B49" s="100" t="s">
        <v>164</v>
      </c>
      <c r="C49" s="103"/>
      <c r="D49" s="103"/>
      <c r="E49" s="103"/>
      <c r="F49" s="4"/>
      <c r="J49" s="178"/>
      <c r="K49" s="178"/>
    </row>
    <row r="50" spans="2:12" ht="12.75">
      <c r="B50" s="99" t="s">
        <v>165</v>
      </c>
      <c r="C50" s="178" t="s">
        <v>124</v>
      </c>
      <c r="D50" s="178"/>
      <c r="E50" s="178"/>
      <c r="F50" s="4"/>
      <c r="G50" s="178" t="s">
        <v>156</v>
      </c>
      <c r="H50" s="178"/>
      <c r="I50" s="4"/>
      <c r="J50" s="178" t="s">
        <v>124</v>
      </c>
      <c r="K50" s="178"/>
      <c r="L50" s="178"/>
    </row>
    <row r="51" spans="2:12" ht="12.75">
      <c r="B51" s="99" t="s">
        <v>166</v>
      </c>
      <c r="C51" s="178" t="s">
        <v>167</v>
      </c>
      <c r="D51" s="178"/>
      <c r="E51" s="178"/>
      <c r="F51" s="4"/>
      <c r="G51" s="178" t="s">
        <v>167</v>
      </c>
      <c r="H51" s="178"/>
      <c r="I51" s="4"/>
      <c r="J51" s="178"/>
      <c r="K51" s="178"/>
      <c r="L51" s="178"/>
    </row>
    <row r="52" spans="2:12" ht="12.75">
      <c r="B52" s="99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99">
        <v>10</v>
      </c>
      <c r="B53" s="100" t="s">
        <v>168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99" t="s">
        <v>169</v>
      </c>
      <c r="C54" s="178" t="s">
        <v>124</v>
      </c>
      <c r="D54" s="178"/>
      <c r="E54" s="178"/>
      <c r="F54" s="4"/>
      <c r="G54" s="178" t="s">
        <v>124</v>
      </c>
      <c r="H54" s="178"/>
      <c r="I54" s="4"/>
      <c r="J54" s="178" t="s">
        <v>152</v>
      </c>
      <c r="K54" s="178"/>
      <c r="L54" s="178"/>
    </row>
    <row r="55" spans="2:12" ht="12.75">
      <c r="B55" s="99" t="s">
        <v>170</v>
      </c>
      <c r="C55" s="178" t="s">
        <v>171</v>
      </c>
      <c r="D55" s="178"/>
      <c r="E55" s="178"/>
      <c r="F55" s="4"/>
      <c r="G55" s="178" t="s">
        <v>172</v>
      </c>
      <c r="H55" s="178"/>
      <c r="I55" s="4"/>
      <c r="J55" s="178" t="s">
        <v>172</v>
      </c>
      <c r="K55" s="178"/>
      <c r="L55" s="178"/>
    </row>
    <row r="56" spans="2:12" ht="12.75">
      <c r="B56" s="99"/>
      <c r="C56" s="4"/>
      <c r="D56" s="4"/>
      <c r="E56" s="4"/>
      <c r="F56" s="4"/>
      <c r="G56" s="4"/>
      <c r="H56" s="4"/>
      <c r="I56" s="4"/>
      <c r="J56" s="101"/>
      <c r="K56" s="101"/>
      <c r="L56" s="101"/>
    </row>
    <row r="57" spans="1:12" ht="12.75">
      <c r="A57" s="99">
        <v>11</v>
      </c>
      <c r="B57" s="100" t="s">
        <v>173</v>
      </c>
      <c r="C57" s="4"/>
      <c r="D57" s="4"/>
      <c r="E57" s="4"/>
      <c r="F57" s="4"/>
      <c r="G57" s="4"/>
      <c r="H57" s="4"/>
      <c r="I57" s="4"/>
      <c r="J57" s="101"/>
      <c r="K57" s="101"/>
      <c r="L57" s="101"/>
    </row>
    <row r="58" spans="2:12" ht="12.75">
      <c r="B58" s="99" t="s">
        <v>174</v>
      </c>
      <c r="C58" s="178" t="s">
        <v>140</v>
      </c>
      <c r="D58" s="178"/>
      <c r="E58" s="178"/>
      <c r="F58" s="4"/>
      <c r="G58" s="178" t="s">
        <v>171</v>
      </c>
      <c r="H58" s="178"/>
      <c r="I58" s="178"/>
      <c r="J58" s="178" t="s">
        <v>175</v>
      </c>
      <c r="K58" s="178"/>
      <c r="L58" s="178"/>
    </row>
    <row r="59" spans="2:12" ht="12.75">
      <c r="B59" s="99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99">
        <v>12</v>
      </c>
      <c r="B60" s="100" t="s">
        <v>176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ht="12.75">
      <c r="B61" s="99" t="s">
        <v>177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ht="12.75">
      <c r="B62" s="99" t="s">
        <v>178</v>
      </c>
      <c r="C62" s="178" t="s">
        <v>140</v>
      </c>
      <c r="D62" s="178"/>
      <c r="E62" s="178"/>
      <c r="F62" s="4"/>
      <c r="G62" s="178" t="s">
        <v>179</v>
      </c>
      <c r="H62" s="178"/>
      <c r="I62" s="178"/>
      <c r="J62" s="178" t="s">
        <v>175</v>
      </c>
      <c r="K62" s="178"/>
      <c r="L62" s="178"/>
    </row>
    <row r="63" spans="2:12" ht="12.75">
      <c r="B63" s="99" t="s">
        <v>180</v>
      </c>
      <c r="C63" s="178" t="s">
        <v>181</v>
      </c>
      <c r="D63" s="178"/>
      <c r="E63" s="178"/>
      <c r="F63" s="4"/>
      <c r="G63" s="178" t="s">
        <v>182</v>
      </c>
      <c r="H63" s="178"/>
      <c r="I63" s="178"/>
      <c r="J63" s="178" t="s">
        <v>183</v>
      </c>
      <c r="K63" s="178"/>
      <c r="L63" s="178"/>
    </row>
    <row r="65" ht="12.75">
      <c r="B65" s="99" t="s">
        <v>184</v>
      </c>
    </row>
    <row r="66" spans="2:12" ht="12.75">
      <c r="B66" s="99" t="s">
        <v>185</v>
      </c>
      <c r="C66" s="178" t="s">
        <v>140</v>
      </c>
      <c r="D66" s="178"/>
      <c r="E66" s="178"/>
      <c r="G66" s="178" t="s">
        <v>186</v>
      </c>
      <c r="H66" s="178"/>
      <c r="J66" s="178" t="s">
        <v>175</v>
      </c>
      <c r="K66" s="178"/>
      <c r="L66" s="178"/>
    </row>
    <row r="67" spans="2:12" ht="12.75">
      <c r="B67" s="99" t="s">
        <v>187</v>
      </c>
      <c r="C67" s="178" t="s">
        <v>152</v>
      </c>
      <c r="D67" s="178"/>
      <c r="E67" s="178"/>
      <c r="G67" s="178"/>
      <c r="H67" s="178"/>
      <c r="J67" s="178" t="s">
        <v>124</v>
      </c>
      <c r="K67" s="178"/>
      <c r="L67" s="178"/>
    </row>
    <row r="68" ht="12.75">
      <c r="B68" s="99"/>
    </row>
    <row r="69" spans="2:12" ht="12.75">
      <c r="B69" s="99" t="s">
        <v>188</v>
      </c>
      <c r="C69" s="178" t="s">
        <v>189</v>
      </c>
      <c r="D69" s="178"/>
      <c r="E69" s="178"/>
      <c r="F69" s="178"/>
      <c r="G69" s="178"/>
      <c r="H69" s="178"/>
      <c r="I69" s="178"/>
      <c r="J69" s="178"/>
      <c r="K69" s="178"/>
      <c r="L69" s="178"/>
    </row>
    <row r="70" ht="12.75">
      <c r="B70" s="1" t="s">
        <v>190</v>
      </c>
    </row>
    <row r="71" spans="2:12" ht="12.75">
      <c r="B71" s="1" t="s">
        <v>191</v>
      </c>
      <c r="C71" s="178" t="s">
        <v>124</v>
      </c>
      <c r="D71" s="178"/>
      <c r="E71" s="178"/>
      <c r="F71" s="178"/>
      <c r="G71" s="178"/>
      <c r="H71" s="178"/>
      <c r="I71" s="178"/>
      <c r="J71" s="178"/>
      <c r="K71" s="178"/>
      <c r="L71" s="178"/>
    </row>
    <row r="72" spans="2:12" ht="12.75">
      <c r="B72" s="1" t="s">
        <v>192</v>
      </c>
      <c r="C72" s="178" t="s">
        <v>152</v>
      </c>
      <c r="D72" s="178"/>
      <c r="E72" s="178"/>
      <c r="F72" s="178"/>
      <c r="G72" s="178"/>
      <c r="H72" s="178"/>
      <c r="I72" s="178"/>
      <c r="J72" s="178"/>
      <c r="K72" s="178"/>
      <c r="L72" s="178"/>
    </row>
    <row r="73" ht="12.75">
      <c r="B73" s="1" t="s">
        <v>193</v>
      </c>
    </row>
    <row r="74" spans="2:12" ht="12.75">
      <c r="B74" s="1" t="s">
        <v>191</v>
      </c>
      <c r="C74" s="178" t="s">
        <v>124</v>
      </c>
      <c r="D74" s="178"/>
      <c r="E74" s="178"/>
      <c r="F74" s="178"/>
      <c r="G74" s="178"/>
      <c r="H74" s="178"/>
      <c r="I74" s="178"/>
      <c r="J74" s="178"/>
      <c r="K74" s="178"/>
      <c r="L74" s="178"/>
    </row>
    <row r="75" spans="2:12" ht="12.75">
      <c r="B75" s="1" t="s">
        <v>192</v>
      </c>
      <c r="C75" s="178" t="s">
        <v>152</v>
      </c>
      <c r="D75" s="178"/>
      <c r="E75" s="178"/>
      <c r="F75" s="178"/>
      <c r="G75" s="178"/>
      <c r="H75" s="178"/>
      <c r="I75" s="178"/>
      <c r="J75" s="178"/>
      <c r="K75" s="178"/>
      <c r="L75" s="178"/>
    </row>
    <row r="77" spans="1:10" ht="12.75">
      <c r="A77" s="99">
        <v>13</v>
      </c>
      <c r="B77" s="100" t="s">
        <v>194</v>
      </c>
      <c r="D77" s="176" t="s">
        <v>195</v>
      </c>
      <c r="E77" s="177"/>
      <c r="F77" s="177"/>
      <c r="G77" s="177"/>
      <c r="H77" s="176" t="s">
        <v>129</v>
      </c>
      <c r="I77" s="177"/>
      <c r="J77" s="177"/>
    </row>
    <row r="78" spans="1:10" s="103" customFormat="1" ht="25.5">
      <c r="A78" s="104"/>
      <c r="B78" s="105" t="s">
        <v>196</v>
      </c>
      <c r="C78" s="178" t="s">
        <v>197</v>
      </c>
      <c r="D78" s="178"/>
      <c r="E78" s="178"/>
      <c r="F78" s="178"/>
      <c r="G78" s="178"/>
      <c r="H78" s="178" t="s">
        <v>139</v>
      </c>
      <c r="I78" s="178"/>
      <c r="J78" s="178"/>
    </row>
    <row r="79" spans="1:10" s="103" customFormat="1" ht="25.5">
      <c r="A79" s="104"/>
      <c r="B79" s="105" t="s">
        <v>198</v>
      </c>
      <c r="C79" s="178" t="s">
        <v>124</v>
      </c>
      <c r="D79" s="178"/>
      <c r="E79" s="178"/>
      <c r="F79" s="178"/>
      <c r="G79" s="178"/>
      <c r="H79" s="178" t="s">
        <v>139</v>
      </c>
      <c r="I79" s="178"/>
      <c r="J79" s="178"/>
    </row>
    <row r="80" spans="3:7" ht="12.75">
      <c r="C80" s="79"/>
      <c r="D80" s="79"/>
      <c r="E80" s="79"/>
      <c r="F80" s="79"/>
      <c r="G80" s="79"/>
    </row>
    <row r="81" spans="3:7" ht="12.75">
      <c r="C81" s="79"/>
      <c r="D81" s="79"/>
      <c r="E81" s="79"/>
      <c r="F81" s="79"/>
      <c r="G81" s="79"/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mergeCells count="44">
    <mergeCell ref="J51:L51"/>
    <mergeCell ref="J50:L50"/>
    <mergeCell ref="C9:E9"/>
    <mergeCell ref="F9:I9"/>
    <mergeCell ref="J9:L9"/>
    <mergeCell ref="C50:E50"/>
    <mergeCell ref="C51:E51"/>
    <mergeCell ref="G50:H50"/>
    <mergeCell ref="G51:H51"/>
    <mergeCell ref="C47:D47"/>
    <mergeCell ref="J49:K49"/>
    <mergeCell ref="C46:D46"/>
    <mergeCell ref="J46:K46"/>
    <mergeCell ref="C69:L69"/>
    <mergeCell ref="J55:L55"/>
    <mergeCell ref="J54:L54"/>
    <mergeCell ref="C58:E58"/>
    <mergeCell ref="G58:I58"/>
    <mergeCell ref="J58:L58"/>
    <mergeCell ref="C54:E54"/>
    <mergeCell ref="C55:E55"/>
    <mergeCell ref="G54:H54"/>
    <mergeCell ref="G55:H55"/>
    <mergeCell ref="J62:L62"/>
    <mergeCell ref="J63:L63"/>
    <mergeCell ref="G63:I63"/>
    <mergeCell ref="C66:E66"/>
    <mergeCell ref="C62:E62"/>
    <mergeCell ref="C63:E63"/>
    <mergeCell ref="G62:I62"/>
    <mergeCell ref="C67:E67"/>
    <mergeCell ref="G66:H67"/>
    <mergeCell ref="J66:L66"/>
    <mergeCell ref="J67:L67"/>
    <mergeCell ref="C71:L71"/>
    <mergeCell ref="C72:L72"/>
    <mergeCell ref="C74:L74"/>
    <mergeCell ref="C75:L75"/>
    <mergeCell ref="D77:G77"/>
    <mergeCell ref="H77:J77"/>
    <mergeCell ref="C78:G78"/>
    <mergeCell ref="C79:G79"/>
    <mergeCell ref="H78:J78"/>
    <mergeCell ref="H79:J7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2" sqref="B12"/>
    </sheetView>
  </sheetViews>
  <sheetFormatPr defaultColWidth="9.140625" defaultRowHeight="12.75"/>
  <cols>
    <col min="1" max="1" width="59.421875" style="0" bestFit="1" customWidth="1"/>
    <col min="3" max="3" width="13.7109375" style="0" customWidth="1"/>
    <col min="6" max="6" width="38.00390625" style="0" bestFit="1" customWidth="1"/>
  </cols>
  <sheetData>
    <row r="1" spans="1:6" ht="18">
      <c r="A1" s="21" t="s">
        <v>199</v>
      </c>
      <c r="B1" s="22"/>
      <c r="C1" s="22"/>
      <c r="D1" s="23"/>
      <c r="E1" s="23"/>
      <c r="F1" s="23"/>
    </row>
    <row r="2" spans="1:6" ht="26.25">
      <c r="A2" s="23"/>
      <c r="B2" s="22"/>
      <c r="C2" s="22"/>
      <c r="D2" s="23"/>
      <c r="E2" s="23"/>
      <c r="F2" s="154" t="s">
        <v>206</v>
      </c>
    </row>
    <row r="3" spans="1:6" ht="27" thickBot="1">
      <c r="A3" s="23"/>
      <c r="B3" s="22"/>
      <c r="C3" s="22"/>
      <c r="D3" s="23"/>
      <c r="E3" s="23"/>
      <c r="F3" s="155" t="s">
        <v>21</v>
      </c>
    </row>
    <row r="4" spans="1:6" ht="16.5" thickBot="1">
      <c r="A4" s="75" t="s">
        <v>0</v>
      </c>
      <c r="B4" s="22"/>
      <c r="C4" s="22"/>
      <c r="D4" s="23"/>
      <c r="E4" s="23"/>
      <c r="F4" s="156" t="s">
        <v>220</v>
      </c>
    </row>
    <row r="5" spans="1:6" ht="13.5" thickBot="1">
      <c r="A5" s="23"/>
      <c r="B5" s="22"/>
      <c r="C5" s="22"/>
      <c r="D5" s="23"/>
      <c r="E5" s="23"/>
      <c r="F5" s="157" t="s">
        <v>17</v>
      </c>
    </row>
    <row r="6" spans="1:6" ht="16.5" thickBot="1">
      <c r="A6" s="106" t="s">
        <v>207</v>
      </c>
      <c r="B6" s="75">
        <v>0</v>
      </c>
      <c r="C6" s="167">
        <f>B6*1.5</f>
        <v>0</v>
      </c>
      <c r="D6" s="23"/>
      <c r="E6" s="23"/>
      <c r="F6" s="157" t="s">
        <v>18</v>
      </c>
    </row>
    <row r="7" spans="1:6" ht="16.5" thickBot="1">
      <c r="A7" s="59" t="s">
        <v>208</v>
      </c>
      <c r="B7" s="75">
        <v>2851</v>
      </c>
      <c r="C7" s="167">
        <f>B7</f>
        <v>2851</v>
      </c>
      <c r="D7" s="23"/>
      <c r="E7" s="23"/>
      <c r="F7" s="157" t="s">
        <v>19</v>
      </c>
    </row>
    <row r="8" spans="1:6" ht="16.5" thickBot="1">
      <c r="A8" s="59" t="s">
        <v>210</v>
      </c>
      <c r="B8" s="75">
        <v>43.23</v>
      </c>
      <c r="C8" s="25" t="s">
        <v>211</v>
      </c>
      <c r="D8" s="30"/>
      <c r="E8" s="23"/>
      <c r="F8" s="23"/>
    </row>
    <row r="9" spans="1:6" ht="13.5" thickBot="1">
      <c r="A9" s="30"/>
      <c r="D9" s="30"/>
      <c r="E9" s="23"/>
      <c r="F9" s="23"/>
    </row>
    <row r="10" spans="1:6" ht="16.5" thickBot="1">
      <c r="A10" s="97" t="s">
        <v>11</v>
      </c>
      <c r="B10" s="22"/>
      <c r="C10" s="22"/>
      <c r="D10" s="23"/>
      <c r="E10" s="23"/>
      <c r="F10" s="23"/>
    </row>
    <row r="11" spans="1:6" ht="13.5" thickBot="1">
      <c r="A11" s="27"/>
      <c r="B11" s="22"/>
      <c r="C11" s="22"/>
      <c r="D11" s="23"/>
      <c r="E11" s="23"/>
      <c r="F11" s="23"/>
    </row>
    <row r="12" spans="1:6" ht="16.5" thickBot="1">
      <c r="A12" s="41" t="s">
        <v>209</v>
      </c>
      <c r="B12" s="97">
        <f>ROUNDUP((SUM(C6:C7)/14),0)</f>
        <v>204</v>
      </c>
      <c r="C12" s="29"/>
      <c r="D12" s="30"/>
      <c r="E12" s="30"/>
      <c r="F12" s="30"/>
    </row>
    <row r="13" spans="1:6" ht="16.5" thickBot="1">
      <c r="A13" s="41" t="s">
        <v>216</v>
      </c>
      <c r="B13" s="107">
        <f>B8/B12</f>
        <v>0.21191176470588233</v>
      </c>
      <c r="C13" s="29"/>
      <c r="D13" s="30"/>
      <c r="E13" s="30"/>
      <c r="F13" s="30"/>
    </row>
    <row r="14" spans="1:6" ht="51.75" thickBot="1">
      <c r="A14" s="171" t="s">
        <v>217</v>
      </c>
      <c r="B14" s="170">
        <f>ROUNDUP((1/B13),0)</f>
        <v>5</v>
      </c>
      <c r="C14" s="169" t="s">
        <v>218</v>
      </c>
      <c r="D14" s="30"/>
      <c r="E14" s="30"/>
      <c r="F14" s="30"/>
    </row>
    <row r="15" spans="1:6" ht="12.75">
      <c r="A15" s="30"/>
      <c r="D15" s="30"/>
      <c r="E15" s="30"/>
      <c r="F15" s="30"/>
    </row>
    <row r="16" spans="1:6" ht="12.75">
      <c r="A16" s="166" t="s">
        <v>74</v>
      </c>
      <c r="D16" s="30"/>
      <c r="E16" s="30"/>
      <c r="F16" s="30"/>
    </row>
    <row r="17" spans="1:6" ht="12.75">
      <c r="A17" s="166" t="s">
        <v>218</v>
      </c>
      <c r="D17" s="30"/>
      <c r="E17" s="30"/>
      <c r="F17" s="30"/>
    </row>
    <row r="18" spans="1:6" ht="12.75">
      <c r="A18" s="30"/>
      <c r="D18" s="30"/>
      <c r="E18" s="30"/>
      <c r="F18" s="30"/>
    </row>
    <row r="19" spans="1:6" ht="12.75">
      <c r="A19" s="30"/>
      <c r="D19" s="30"/>
      <c r="E19" s="30"/>
      <c r="F19" s="30"/>
    </row>
    <row r="20" spans="1:6" ht="12.75">
      <c r="A20" s="30"/>
      <c r="D20" s="30"/>
      <c r="E20" s="23"/>
      <c r="F20" s="23"/>
    </row>
    <row r="21" spans="1:6" ht="12.75">
      <c r="A21" s="88"/>
      <c r="B21" s="88"/>
      <c r="C21" s="88"/>
      <c r="D21" s="23"/>
      <c r="E21" s="23"/>
      <c r="F21" s="23"/>
    </row>
    <row r="22" spans="1:6" ht="12.75">
      <c r="A22" s="88"/>
      <c r="B22" s="88"/>
      <c r="C22" s="88"/>
      <c r="D22" s="23"/>
      <c r="E22" s="23"/>
      <c r="F22" s="23"/>
    </row>
    <row r="23" spans="1:6" ht="12.75">
      <c r="A23" s="23"/>
      <c r="B23" s="22"/>
      <c r="C23" s="22"/>
      <c r="D23" s="23"/>
      <c r="E23" s="23"/>
      <c r="F23" s="23"/>
    </row>
    <row r="24" spans="1:6" ht="12.75">
      <c r="A24" s="23"/>
      <c r="B24" s="22"/>
      <c r="C24" s="22"/>
      <c r="D24" s="23"/>
      <c r="E24" s="23"/>
      <c r="F24" s="23"/>
    </row>
    <row r="25" spans="1:6" ht="12.75">
      <c r="A25" s="33" t="s">
        <v>31</v>
      </c>
      <c r="B25" s="22"/>
      <c r="C25" s="22"/>
      <c r="D25" s="23"/>
      <c r="E25" s="23"/>
      <c r="F25" s="23"/>
    </row>
    <row r="26" spans="1:6" ht="15.75">
      <c r="A26" s="34" t="s">
        <v>44</v>
      </c>
      <c r="B26" s="22"/>
      <c r="C26" s="22"/>
      <c r="D26" s="23"/>
      <c r="E26" s="23"/>
      <c r="F26" s="23"/>
    </row>
    <row r="27" spans="1:6" ht="12.75">
      <c r="A27" s="35" t="s">
        <v>45</v>
      </c>
      <c r="B27" s="22"/>
      <c r="C27" s="22"/>
      <c r="D27" s="23"/>
      <c r="E27" s="23"/>
      <c r="F27" s="23"/>
    </row>
    <row r="28" spans="1:6" ht="12.75">
      <c r="A28" s="23"/>
      <c r="B28" s="22"/>
      <c r="C28" s="22"/>
      <c r="D28" s="23"/>
      <c r="E28" s="23"/>
      <c r="F28" s="23"/>
    </row>
    <row r="29" spans="1:6" ht="12.75">
      <c r="A29" s="23"/>
      <c r="B29" s="22"/>
      <c r="C29" s="22"/>
      <c r="D29" s="23"/>
      <c r="E29" s="23"/>
      <c r="F29" s="23"/>
    </row>
  </sheetData>
  <sheetProtection password="DCBC" sheet="1" objects="1" scenarios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satya</cp:lastModifiedBy>
  <dcterms:created xsi:type="dcterms:W3CDTF">2002-03-12T23:28:17Z</dcterms:created>
  <dcterms:modified xsi:type="dcterms:W3CDTF">2007-06-17T16:36:49Z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